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728" windowHeight="913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<sst xmlns="http://schemas.openxmlformats.org/spreadsheetml/2006/main" count="3789" uniqueCount="2994">
  <si>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</si>
  <si>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</si>
  <si>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</si>
  <si>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</si>
  <si>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</si>
  <si>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</si>
  <si>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</si>
  <si>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</si>
  <si>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</si>
  <si>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</si>
  <si>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</si>
  <si>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</si>
  <si>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</si>
  <si>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</si>
  <si>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</si>
  <si>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</si>
  <si>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</si>
  <si>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</si>
  <si>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</si>
  <si>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</si>
  <si>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</si>
  <si>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</si>
  <si>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</si>
  <si>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</si>
  <si>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</si>
  <si>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</si>
  <si>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</si>
  <si>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</si>
  <si>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</si>
  <si>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</si>
  <si>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</si>
  <si>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</si>
  <si>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</si>
  <si>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</si>
  <si>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</si>
  <si>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</si>
  <si>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</si>
  <si>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</si>
  <si>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</si>
  <si>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</si>
  <si>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</si>
  <si>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</si>
  <si>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</si>
  <si>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</si>
  <si>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</si>
  <si>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</si>
  <si>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</si>
  <si>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</si>
  <si>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</si>
  <si>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</si>
  <si>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</si>
  <si>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</si>
  <si>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</si>
  <si>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</si>
  <si>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</si>
  <si>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</si>
  <si>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</si>
  <si>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</si>
  <si>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</si>
  <si>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</si>
  <si>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</si>
  <si>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</si>
  <si>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</si>
  <si>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</si>
  <si>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</si>
  <si>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</si>
  <si>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</si>
  <si>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</si>
  <si>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</si>
  <si>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</si>
  <si>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</si>
  <si>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</si>
  <si>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</si>
  <si>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</si>
  <si>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</si>
  <si>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</si>
  <si>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</si>
  <si>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</si>
  <si>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</si>
  <si>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</si>
  <si>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</si>
  <si>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</si>
  <si>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</si>
  <si>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</si>
  <si>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</si>
  <si>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</si>
  <si>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</si>
  <si>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</si>
  <si>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</si>
  <si>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</si>
  <si>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</si>
  <si>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</si>
  <si>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</si>
  <si>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</si>
  <si>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</si>
  <si>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</si>
  <si>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</si>
  <si>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</si>
  <si>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</si>
  <si>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</si>
  <si>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</si>
  <si>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</si>
  <si>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</si>
  <si>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</si>
  <si>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</si>
  <si>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</si>
  <si>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</si>
  <si>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</si>
  <si>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</si>
  <si>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</si>
  <si>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</si>
  <si>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</si>
  <si>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</si>
  <si>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</si>
  <si>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</si>
  <si>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</si>
  <si>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</si>
  <si>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</si>
  <si>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</si>
  <si>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</si>
  <si>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</si>
  <si>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</si>
  <si>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</si>
  <si>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</si>
  <si>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</si>
  <si>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</si>
  <si>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</si>
  <si>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</si>
  <si>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</si>
  <si>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</si>
  <si>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</si>
  <si>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</si>
  <si>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</si>
  <si>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</si>
  <si>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</si>
  <si>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</si>
  <si>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</si>
  <si>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</si>
  <si>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</si>
  <si>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</si>
  <si>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</si>
  <si>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</si>
  <si>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</si>
  <si>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</si>
  <si>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</si>
  <si>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</si>
  <si>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</si>
  <si>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</si>
  <si>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</si>
  <si>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</si>
  <si>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</si>
  <si>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</si>
  <si>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</si>
  <si>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</si>
  <si>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</si>
  <si>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</si>
  <si>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</si>
  <si>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</si>
  <si>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</si>
  <si>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</si>
  <si>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</si>
  <si>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</si>
  <si>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</si>
  <si>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</si>
  <si>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</si>
  <si>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</si>
  <si>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</si>
  <si>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</si>
  <si>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</si>
  <si>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</si>
  <si>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</si>
  <si>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</si>
  <si>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</si>
  <si>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</si>
  <si>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</si>
  <si>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</si>
  <si>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</si>
  <si>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</si>
  <si>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</si>
  <si>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</si>
  <si>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</si>
  <si>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</si>
  <si>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</si>
  <si>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</si>
  <si>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</si>
  <si>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</si>
  <si>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</si>
  <si>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</si>
  <si>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</si>
  <si>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</si>
  <si>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</si>
  <si>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</si>
  <si>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</si>
  <si>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</si>
  <si>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</si>
  <si>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</si>
  <si>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</si>
  <si>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</si>
  <si>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</si>
  <si>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</si>
  <si>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</si>
  <si>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</si>
  <si>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</si>
  <si>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</si>
  <si>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</si>
  <si>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</si>
  <si>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</si>
  <si>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</si>
  <si>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</si>
  <si>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</si>
  <si>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</si>
  <si>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</si>
  <si>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</si>
  <si>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</si>
  <si>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</si>
  <si>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</si>
  <si>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</si>
  <si>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</si>
  <si>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</si>
  <si>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</si>
  <si>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</si>
  <si>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</si>
  <si>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</si>
  <si>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</si>
  <si>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</si>
  <si>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</si>
  <si>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</si>
  <si>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</si>
  <si>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</si>
  <si>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</si>
  <si>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</si>
  <si>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</si>
  <si>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</si>
  <si>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</si>
  <si>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</si>
  <si>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</si>
  <si>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</si>
  <si>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</si>
  <si>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</si>
  <si>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</si>
  <si>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</si>
  <si>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</si>
  <si>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</si>
  <si>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</si>
  <si>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</si>
  <si>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</si>
  <si>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</si>
  <si>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</si>
  <si>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</si>
  <si>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</si>
  <si>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</si>
  <si>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</si>
  <si>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</si>
  <si>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</si>
  <si>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</si>
  <si>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</si>
  <si>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</si>
  <si>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</si>
  <si>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</si>
  <si>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</si>
  <si>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</si>
  <si>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</si>
  <si>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</si>
  <si>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</si>
  <si>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</si>
  <si>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</si>
  <si>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</si>
  <si>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</si>
  <si>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</si>
  <si>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</si>
  <si>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</si>
  <si>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</si>
  <si>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</si>
  <si>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</si>
  <si>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</si>
  <si>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</si>
  <si>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</si>
  <si>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</si>
  <si>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</si>
  <si>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</si>
  <si>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</si>
  <si>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</si>
  <si>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</si>
  <si>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</si>
  <si>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</si>
  <si>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</si>
  <si>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</si>
  <si>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</si>
  <si>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</si>
  <si>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</si>
  <si>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</si>
  <si>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</si>
  <si>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</si>
  <si>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</si>
  <si>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</si>
  <si>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</si>
  <si>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</si>
  <si>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</si>
  <si>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</si>
  <si>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</si>
  <si>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</si>
  <si>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</si>
  <si>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</si>
  <si>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</si>
  <si>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</si>
  <si>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</si>
  <si>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</si>
  <si>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</si>
  <si>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</si>
  <si>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</si>
  <si>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</si>
  <si>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</si>
  <si>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</si>
  <si>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</si>
  <si>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</si>
  <si>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</si>
  <si>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</si>
  <si>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</si>
  <si>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</si>
  <si>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</si>
  <si>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</si>
  <si>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</si>
  <si>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</si>
  <si>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</si>
  <si>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</si>
  <si>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</si>
  <si>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</si>
  <si>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</si>
  <si>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</si>
  <si>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</si>
  <si>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</si>
  <si>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</si>
  <si>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</si>
  <si>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</si>
  <si>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</si>
  <si>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</si>
  <si>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</si>
  <si>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</si>
  <si>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</si>
  <si>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</si>
  <si>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</si>
  <si>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</si>
  <si>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</si>
  <si>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</si>
  <si>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</si>
  <si>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</si>
  <si>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</si>
  <si>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</si>
  <si>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</si>
  <si>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</si>
  <si>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</si>
  <si>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</si>
  <si>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</si>
  <si>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</si>
  <si>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</si>
  <si>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</si>
  <si>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</si>
  <si>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</si>
  <si>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</si>
  <si>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</si>
  <si>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</si>
  <si>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</si>
  <si>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</si>
  <si>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</si>
  <si>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</si>
  <si>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</si>
  <si>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</si>
  <si>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</si>
  <si>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</si>
  <si>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</si>
  <si>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</si>
  <si>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</si>
  <si>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</si>
  <si>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</si>
  <si>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</si>
  <si>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</si>
  <si>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</si>
  <si>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</si>
  <si>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</si>
  <si>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</si>
  <si>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</si>
  <si>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</si>
  <si>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</si>
  <si>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</si>
  <si>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</si>
  <si>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</si>
  <si>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</si>
  <si>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</si>
  <si>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</si>
  <si>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</si>
  <si>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</si>
  <si>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</si>
  <si>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</si>
  <si>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</si>
  <si>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</si>
  <si>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</si>
  <si>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</si>
  <si>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</si>
  <si>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</si>
  <si>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</si>
  <si>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</si>
  <si>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</si>
  <si>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</si>
  <si>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</si>
  <si>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</si>
  <si>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</si>
  <si>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</si>
  <si>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</si>
  <si>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</si>
  <si>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</si>
  <si>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</si>
  <si>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</si>
  <si>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</si>
  <si>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</si>
  <si>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</si>
  <si>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</si>
  <si>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</si>
  <si>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</si>
  <si>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</si>
  <si>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</si>
  <si>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</si>
  <si>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</si>
  <si>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</si>
  <si>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</si>
  <si>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</si>
  <si>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</si>
  <si>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</si>
  <si>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</si>
  <si>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</si>
  <si>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</si>
  <si>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</si>
  <si>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</si>
  <si>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</si>
  <si>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</si>
  <si>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</si>
  <si>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</si>
  <si>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</si>
  <si>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</si>
  <si>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</si>
  <si>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</si>
  <si>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</si>
  <si>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</si>
  <si>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</si>
  <si>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</si>
  <si>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</si>
  <si>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</si>
  <si>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</si>
  <si>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</si>
  <si>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</si>
  <si>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</si>
  <si>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</si>
  <si>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</si>
  <si>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</si>
  <si>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</si>
  <si>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</si>
  <si>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</si>
  <si>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</si>
  <si>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</si>
  <si>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</si>
  <si>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</si>
  <si>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</si>
  <si>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</si>
  <si>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</si>
  <si>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</si>
  <si>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</si>
  <si>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</si>
  <si>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</si>
  <si>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</si>
  <si>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</si>
  <si>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</si>
  <si>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</si>
  <si>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</si>
  <si>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</si>
  <si>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</si>
  <si>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</si>
  <si>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</si>
  <si>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</si>
  <si>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</si>
  <si>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</si>
  <si>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</si>
  <si>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</si>
  <si>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</si>
  <si>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</si>
  <si>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</si>
  <si>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</si>
  <si>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</si>
  <si>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</si>
  <si>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</si>
  <si>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</si>
  <si>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</si>
  <si>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</si>
  <si>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</si>
  <si>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</si>
  <si>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</si>
  <si>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</si>
  <si>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</si>
  <si>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</si>
  <si>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</si>
  <si>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</si>
  <si>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</si>
  <si>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</si>
  <si>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</si>
  <si>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</si>
  <si>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</si>
  <si>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</si>
  <si>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</si>
  <si>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</si>
  <si>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</si>
  <si>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</si>
  <si>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</si>
  <si>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</si>
  <si>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</si>
  <si>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</si>
  <si>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</si>
  <si>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</si>
  <si>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</si>
  <si>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</si>
  <si>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</si>
  <si>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</si>
  <si>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</si>
  <si>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</si>
  <si>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</si>
  <si>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</si>
  <si>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</si>
  <si>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</si>
  <si>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</si>
  <si>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</si>
  <si>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</si>
  <si>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</si>
  <si>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</si>
  <si>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</si>
  <si>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</si>
  <si>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</si>
  <si>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</si>
  <si>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</si>
  <si>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</si>
  <si>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</si>
  <si>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</si>
  <si>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</si>
  <si>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</si>
  <si>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</si>
  <si>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</si>
  <si>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</si>
  <si>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</si>
  <si>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</si>
  <si>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</si>
  <si>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</si>
  <si>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</si>
  <si>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</si>
  <si>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</si>
  <si>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</si>
  <si>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</si>
  <si>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</si>
  <si>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</si>
  <si>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</si>
  <si>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</si>
  <si>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</si>
  <si>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</si>
  <si>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</si>
  <si>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</si>
  <si>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</si>
  <si>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</si>
  <si>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</si>
  <si>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</si>
  <si>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</si>
  <si>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</si>
  <si>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</si>
  <si>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</si>
  <si>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</si>
  <si>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</si>
  <si>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</si>
  <si>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</si>
  <si>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</si>
  <si>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</si>
  <si>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</si>
  <si>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</si>
  <si>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</si>
  <si>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</si>
  <si>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</si>
  <si>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</si>
  <si>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</si>
  <si>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</si>
  <si>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</si>
  <si>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</si>
  <si>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</si>
  <si>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</si>
  <si>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</si>
  <si>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</si>
  <si>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</si>
  <si>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</si>
  <si>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</si>
  <si>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</si>
  <si>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</si>
  <si>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</si>
  <si>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</si>
  <si>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</si>
  <si>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</si>
  <si>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</si>
  <si>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</si>
  <si>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</si>
  <si>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</si>
  <si>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</si>
  <si>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</si>
  <si>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</si>
  <si>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</si>
  <si>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</si>
  <si>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</si>
  <si>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</si>
  <si>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</si>
  <si>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</si>
  <si>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</si>
  <si>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</si>
  <si>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</si>
  <si>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</si>
  <si>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</si>
  <si>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</si>
  <si>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</si>
  <si>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</si>
  <si>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</si>
  <si>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</si>
  <si>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</si>
  <si>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</si>
  <si>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</si>
  <si>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</si>
  <si>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</si>
  <si>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</si>
  <si>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</si>
  <si>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</si>
  <si>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</si>
  <si>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</si>
  <si>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</si>
  <si>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</si>
  <si>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</si>
  <si>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</si>
  <si>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</si>
  <si>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</si>
  <si>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</si>
  <si>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</si>
  <si>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</si>
  <si>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</si>
  <si>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</si>
  <si>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</si>
  <si>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</si>
  <si>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</si>
  <si>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</si>
  <si>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</si>
  <si>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</si>
  <si>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</si>
  <si>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</si>
  <si>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</si>
  <si>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</si>
  <si>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</si>
  <si>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</si>
  <si>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</si>
  <si>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</si>
  <si>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</si>
  <si>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</si>
  <si>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</si>
  <si>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</si>
  <si>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</si>
  <si>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</si>
  <si>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</si>
  <si>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</si>
  <si>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</si>
  <si>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</si>
  <si>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</si>
  <si>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</si>
  <si>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</si>
  <si>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</si>
  <si>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</si>
  <si>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</si>
  <si>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</si>
  <si>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</si>
  <si>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</si>
  <si>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</si>
  <si>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</si>
  <si>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</si>
  <si>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</si>
  <si>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</si>
  <si>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</si>
  <si>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</si>
  <si>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</si>
  <si>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</si>
  <si>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</si>
  <si>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</si>
  <si>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</si>
  <si>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</si>
  <si>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</si>
  <si>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</si>
  <si>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</si>
  <si>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</si>
  <si>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</si>
  <si>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</si>
  <si>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</si>
  <si>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</si>
  <si>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</si>
  <si>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</si>
  <si>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</si>
  <si>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</si>
  <si>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</si>
  <si>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</si>
  <si>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</si>
  <si>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</si>
  <si>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</si>
  <si>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</si>
  <si>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</si>
  <si>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</si>
  <si>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</si>
  <si>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</si>
  <si>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</si>
  <si>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</si>
  <si>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</si>
  <si>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</si>
  <si>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</si>
  <si>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</si>
  <si>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</si>
  <si>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</si>
  <si>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</si>
  <si>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</si>
  <si>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</si>
  <si>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</si>
  <si>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</si>
  <si>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</si>
  <si>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</si>
  <si>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</si>
  <si>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</si>
  <si>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</si>
  <si>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</si>
  <si>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</si>
  <si>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</si>
  <si>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</si>
  <si>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</si>
  <si>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</si>
  <si>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</si>
  <si>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</si>
  <si>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</si>
  <si>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</si>
  <si>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</si>
  <si>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</si>
  <si>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</si>
  <si>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</si>
  <si>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</si>
  <si>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</si>
  <si>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</si>
  <si>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</si>
  <si>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</si>
  <si>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</si>
  <si>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</si>
  <si>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</si>
  <si>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</si>
  <si>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</si>
  <si>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</si>
  <si>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</si>
  <si>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</si>
  <si>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</si>
  <si>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</si>
  <si>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</si>
  <si>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</si>
  <si>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</si>
  <si>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</si>
  <si>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</si>
  <si>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</si>
  <si>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</si>
  <si>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</si>
  <si>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</si>
  <si>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</si>
  <si>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</si>
  <si>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</si>
  <si>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</si>
  <si>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</si>
  <si>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</si>
  <si>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</si>
  <si>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</si>
  <si>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</si>
  <si>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</si>
  <si>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</si>
  <si>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</si>
  <si>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</si>
  <si>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</si>
  <si>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</si>
  <si>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</si>
  <si>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</si>
  <si>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</si>
  <si>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</si>
  <si>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</si>
  <si>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</si>
  <si>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</si>
  <si>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</si>
  <si>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</si>
  <si>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</si>
  <si>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</si>
  <si>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</si>
  <si>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</si>
  <si>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</si>
  <si>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</si>
  <si>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</si>
  <si>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</si>
  <si>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</si>
  <si>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</si>
  <si>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</si>
  <si>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</si>
  <si>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</si>
  <si>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</si>
  <si>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</si>
  <si>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</si>
  <si>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</si>
  <si>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</si>
  <si>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</si>
  <si>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</si>
  <si>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</si>
  <si>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</si>
  <si>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</si>
  <si>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</si>
  <si>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</si>
  <si>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</si>
  <si>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</si>
  <si>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</si>
  <si>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</si>
  <si>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</si>
  <si>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</si>
  <si>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</si>
  <si>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</si>
  <si>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</si>
  <si>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</si>
  <si>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</si>
  <si>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</si>
  <si>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</si>
  <si>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</si>
  <si>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</si>
  <si>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</si>
  <si>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</si>
  <si>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</si>
  <si>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</si>
  <si>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</si>
  <si>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</si>
  <si>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</si>
  <si>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</si>
  <si>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</si>
  <si>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</si>
  <si>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</si>
  <si>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</si>
  <si>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</si>
  <si>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</si>
  <si>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</si>
  <si>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</si>
  <si>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</si>
  <si>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</si>
  <si>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</si>
  <si>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</si>
  <si>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</si>
  <si>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</si>
  <si>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</si>
  <si>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</si>
  <si>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</si>
  <si>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</si>
  <si>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</si>
  <si>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</si>
  <si>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</si>
  <si>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</si>
  <si>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</si>
  <si>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</si>
  <si>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</si>
  <si>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</si>
  <si>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</si>
  <si>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</si>
  <si>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</si>
  <si>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</si>
  <si>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</si>
  <si>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</si>
  <si>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</si>
  <si>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</si>
  <si>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</si>
  <si>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</si>
  <si>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</si>
  <si>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</si>
  <si>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</si>
  <si>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</si>
  <si>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</si>
  <si>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</si>
  <si>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</si>
  <si>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</si>
  <si>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</si>
  <si>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</si>
  <si>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</si>
  <si>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</si>
  <si>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</si>
  <si>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</si>
  <si>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</si>
  <si>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</si>
  <si>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</si>
  <si>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</si>
  <si>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</si>
  <si>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</si>
  <si>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</si>
  <si>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</si>
  <si>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</si>
  <si>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</si>
  <si>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</si>
  <si>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</si>
  <si>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</si>
  <si>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</si>
  <si>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</si>
  <si>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</si>
  <si>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</si>
  <si>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</si>
  <si>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</si>
  <si>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</si>
  <si>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</si>
  <si>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</si>
  <si>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</si>
  <si>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</si>
  <si>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</si>
  <si>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</si>
  <si>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</si>
  <si>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</si>
  <si>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</si>
  <si>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</si>
  <si>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</si>
  <si>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</si>
  <si>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</si>
  <si>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</si>
  <si>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</si>
  <si>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</si>
  <si>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</si>
  <si>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</si>
  <si>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</si>
  <si>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</si>
  <si>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</si>
  <si>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</si>
  <si>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</si>
  <si>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</si>
  <si>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</si>
  <si>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</si>
  <si>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</si>
  <si>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</si>
  <si>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</si>
  <si>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</si>
  <si>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</si>
  <si>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</si>
  <si>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</si>
  <si>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</si>
  <si>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</si>
  <si>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</si>
  <si>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</si>
  <si>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</si>
  <si>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</si>
  <si>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</si>
  <si>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</si>
  <si>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</si>
  <si>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</si>
  <si>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</si>
  <si>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</si>
  <si>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</si>
  <si>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</si>
  <si>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</si>
  <si>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</si>
  <si>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</si>
  <si>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</si>
  <si>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</si>
  <si>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</si>
  <si>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</si>
  <si>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</si>
  <si>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</si>
  <si>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</si>
  <si>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</si>
  <si>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</si>
  <si>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</si>
  <si>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</si>
  <si>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</si>
  <si>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</si>
  <si>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</si>
  <si>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</si>
  <si>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</si>
  <si>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</si>
  <si>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</si>
  <si>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</si>
  <si>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</si>
  <si>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</si>
  <si>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</si>
  <si>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</si>
  <si>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</si>
  <si>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</si>
  <si>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</si>
  <si>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</si>
  <si>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</si>
  <si>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</si>
  <si>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</si>
  <si>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</si>
  <si>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</si>
  <si>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</si>
  <si>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</si>
  <si>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</si>
  <si>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</si>
  <si>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</si>
  <si>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</si>
  <si>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</si>
  <si>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</si>
  <si>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</si>
  <si>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</si>
  <si>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</si>
  <si>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</si>
  <si>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</si>
  <si>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</si>
  <si>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</si>
  <si>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</si>
  <si>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</si>
  <si>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</si>
  <si>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</si>
  <si>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</si>
  <si>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</si>
  <si>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</si>
  <si>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</si>
  <si>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</si>
  <si>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</si>
  <si>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</si>
  <si>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</si>
  <si>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</si>
  <si>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</si>
  <si>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</si>
  <si>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</si>
  <si>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</si>
  <si>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</si>
  <si>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</si>
  <si>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</si>
  <si>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</si>
  <si>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</si>
  <si>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</si>
  <si>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</si>
  <si>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</si>
  <si>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</si>
  <si>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</si>
  <si>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</si>
  <si>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</si>
  <si>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</si>
  <si>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</si>
  <si>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</si>
  <si>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</si>
  <si>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</si>
  <si>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</si>
  <si>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</si>
  <si>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</si>
  <si>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</si>
  <si>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</si>
  <si>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</si>
  <si>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</si>
  <si>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</si>
  <si>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</si>
  <si>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</si>
  <si>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</si>
  <si>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</si>
  <si>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</si>
  <si>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</si>
  <si>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</si>
  <si>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</si>
  <si>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</si>
  <si>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</si>
  <si>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</si>
  <si>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</si>
  <si>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</si>
  <si>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</si>
  <si>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</si>
  <si>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</si>
  <si>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</si>
  <si>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</si>
  <si>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</si>
  <si>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</si>
  <si>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</si>
  <si>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</si>
  <si>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</si>
  <si>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</si>
  <si>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</si>
  <si>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</si>
  <si>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</si>
  <si>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</si>
  <si>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</si>
  <si>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</si>
  <si>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</si>
  <si>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</si>
  <si>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</si>
  <si>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</si>
  <si>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</si>
  <si>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</si>
  <si>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</si>
  <si>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</si>
  <si>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</si>
  <si>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</si>
  <si>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</si>
  <si>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</si>
  <si>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</si>
  <si>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</si>
  <si>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</si>
  <si>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</si>
  <si>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</si>
  <si>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</si>
  <si>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</si>
  <si>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</si>
  <si>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</si>
  <si>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</si>
  <si>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</si>
  <si>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</si>
  <si>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</si>
  <si>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</si>
  <si>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</si>
  <si>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</si>
  <si>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</si>
  <si>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</si>
  <si>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</si>
  <si>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</si>
  <si>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</si>
  <si>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</si>
  <si>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</si>
  <si>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</si>
  <si>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</si>
  <si>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</si>
  <si>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</si>
  <si>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</si>
  <si>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</si>
  <si>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</si>
  <si>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</si>
  <si>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</si>
  <si>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</si>
  <si>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</si>
  <si>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</si>
  <si>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</si>
  <si>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</si>
  <si>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</si>
  <si>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</si>
  <si>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</si>
  <si>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</si>
  <si>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</si>
  <si>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</si>
  <si>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</si>
  <si>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</si>
  <si>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</si>
  <si>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</si>
  <si>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</si>
  <si>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</si>
  <si>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</si>
  <si>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</si>
  <si>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</si>
  <si>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</si>
  <si>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</si>
  <si>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</si>
  <si>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</si>
  <si>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</si>
  <si>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</si>
  <si>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</si>
  <si>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</si>
  <si>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</si>
  <si>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</si>
  <si>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</si>
  <si>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</si>
  <si>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</si>
  <si>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</si>
  <si>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</si>
  <si>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</si>
  <si>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</si>
  <si>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</si>
  <si>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</si>
  <si>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</si>
  <si>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</si>
  <si>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</si>
  <si>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</si>
  <si>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</si>
  <si>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</si>
  <si>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</si>
  <si>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</si>
  <si>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</si>
  <si>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</si>
  <si>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</si>
  <si>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</si>
  <si>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</si>
  <si>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</si>
  <si>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</si>
  <si>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</si>
  <si>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</si>
  <si>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</si>
  <si>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</si>
  <si>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</si>
  <si>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</si>
  <si>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</si>
  <si>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</si>
  <si>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</si>
  <si>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</si>
  <si>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</si>
  <si>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</si>
  <si>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</si>
  <si>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</si>
  <si>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</si>
  <si>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</si>
  <si>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</si>
  <si>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</si>
  <si>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</si>
  <si>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</si>
  <si>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</si>
  <si>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</si>
  <si>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</si>
  <si>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</si>
  <si>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</si>
  <si>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</si>
  <si>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</si>
  <si>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</si>
  <si>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</si>
  <si>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</si>
  <si>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</si>
  <si>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</si>
  <si>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</si>
  <si>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</si>
  <si>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</si>
  <si>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</si>
  <si>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</si>
  <si>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</si>
  <si>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</si>
  <si>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</si>
  <si>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</si>
  <si>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</si>
  <si>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</si>
  <si>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</si>
  <si>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</si>
  <si>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</si>
  <si>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</si>
  <si>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</si>
  <si>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</si>
  <si>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</si>
  <si>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</si>
  <si>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</si>
  <si>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</si>
  <si>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</si>
  <si>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</si>
  <si>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</si>
  <si>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</si>
  <si>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</si>
  <si>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</si>
  <si>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</si>
  <si>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</si>
  <si>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</si>
  <si>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</si>
  <si>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</si>
  <si>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</si>
  <si>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</si>
  <si>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</si>
  <si>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</si>
  <si>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</si>
  <si>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</si>
  <si>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</si>
  <si>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</si>
  <si>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</si>
  <si>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</si>
  <si>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</si>
  <si>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</si>
  <si>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</si>
  <si>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</si>
  <si>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</si>
  <si>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</si>
  <si>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</si>
  <si>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</si>
  <si>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</si>
  <si>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</si>
  <si>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</si>
  <si>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</si>
  <si>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</si>
  <si>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</si>
  <si>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</si>
  <si>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</si>
  <si>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</si>
  <si>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</si>
  <si>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</si>
  <si>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</si>
  <si>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</si>
  <si>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</si>
  <si>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</si>
  <si>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</si>
  <si>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</si>
  <si>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</si>
  <si>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</si>
  <si>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</si>
  <si>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</si>
  <si>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</si>
  <si>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</si>
  <si>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</si>
  <si>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</si>
  <si>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</si>
  <si>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</si>
  <si>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</si>
  <si>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</si>
  <si>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</si>
  <si>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</si>
  <si>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</si>
  <si>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</si>
  <si>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</si>
  <si>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</si>
  <si>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</si>
  <si>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</si>
  <si>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</si>
  <si>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</si>
  <si>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</si>
  <si>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</si>
  <si>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</si>
  <si>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</si>
  <si>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</si>
  <si>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</si>
  <si>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</si>
  <si>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</si>
  <si>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</si>
  <si>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</si>
  <si>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</si>
  <si>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</si>
  <si>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</si>
  <si>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</si>
  <si>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</si>
  <si>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</si>
  <si>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</si>
  <si>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</si>
  <si>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</si>
  <si>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</si>
  <si>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</si>
  <si>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</si>
  <si>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</si>
  <si>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</si>
  <si>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</si>
  <si>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</si>
  <si>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</si>
  <si>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</si>
  <si>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</si>
  <si>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</si>
  <si>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</si>
  <si>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</si>
  <si>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</si>
  <si>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</si>
  <si>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</si>
  <si>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</si>
  <si>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</si>
  <si>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</si>
  <si>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</si>
  <si>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</si>
  <si>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</si>
  <si>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</si>
  <si>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</si>
  <si>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</si>
  <si>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</si>
  <si>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</si>
  <si>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</si>
  <si>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</si>
  <si>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</si>
  <si>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</si>
  <si>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</si>
  <si>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</si>
  <si>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</si>
  <si>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</si>
  <si>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</si>
  <si>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</si>
  <si>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</si>
  <si>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</si>
  <si>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</si>
  <si>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</si>
  <si>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</si>
  <si>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</si>
  <si>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</si>
  <si>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</si>
  <si>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</si>
  <si>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</si>
  <si>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</si>
  <si>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</si>
  <si>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</si>
  <si>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</si>
  <si>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</si>
  <si>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</si>
  <si>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</si>
  <si>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</si>
  <si>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</si>
  <si>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</si>
  <si>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</si>
  <si>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</si>
  <si>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</si>
  <si>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</si>
  <si>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</si>
  <si>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</si>
  <si>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</si>
  <si>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</si>
  <si>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</si>
  <si>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</si>
  <si>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</si>
  <si>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</si>
  <si>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</si>
  <si>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</si>
  <si>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</si>
  <si>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</si>
  <si>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</si>
  <si>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</si>
  <si>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</si>
  <si>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</si>
  <si>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</si>
  <si>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</si>
  <si>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</si>
  <si>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</si>
  <si>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</si>
  <si>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</si>
  <si>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</si>
  <si>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</si>
  <si>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</si>
  <si>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</si>
  <si>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</si>
  <si>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</si>
  <si>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</si>
  <si>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</si>
  <si>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</si>
  <si>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</si>
  <si>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</si>
  <si>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</si>
  <si>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</si>
  <si>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</si>
  <si>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</si>
  <si>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</si>
  <si>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</si>
  <si>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</si>
  <si>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</si>
  <si>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</si>
  <si>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</si>
  <si>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</si>
  <si>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</si>
  <si>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</si>
  <si>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</si>
  <si>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</si>
  <si>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</si>
  <si>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</si>
  <si>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</si>
  <si>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</si>
  <si>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</si>
  <si>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</si>
  <si>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</si>
  <si>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</si>
  <si>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</si>
  <si>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</si>
  <si>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</si>
  <si>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</si>
  <si>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</si>
  <si>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</si>
  <si>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</si>
  <si>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</si>
  <si>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</si>
  <si>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</si>
  <si>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</si>
  <si>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</si>
  <si>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</si>
  <si>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</si>
  <si>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</si>
  <si>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</si>
  <si>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</si>
  <si>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</si>
  <si>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</si>
  <si>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</si>
  <si>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</si>
  <si>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</si>
  <si>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</si>
  <si>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</si>
  <si>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</si>
  <si>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</si>
  <si>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</si>
  <si>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</si>
  <si>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</si>
  <si>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</si>
  <si>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</si>
  <si>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</si>
  <si>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</si>
  <si>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</si>
  <si>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</si>
  <si>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</si>
  <si>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</si>
  <si>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</si>
  <si>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</si>
  <si>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</si>
  <si>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</si>
  <si>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</si>
  <si>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</si>
  <si>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</si>
  <si>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</si>
  <si>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</si>
  <si>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</si>
  <si>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</si>
  <si>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</si>
  <si>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</si>
  <si>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</si>
  <si>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</si>
  <si>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</si>
  <si>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</si>
  <si>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</si>
  <si>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</si>
  <si>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</si>
  <si>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</si>
  <si>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</si>
  <si>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</si>
  <si>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</si>
  <si>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</si>
  <si>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</si>
  <si>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</si>
  <si>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</si>
  <si>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</si>
  <si>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</si>
  <si>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</si>
  <si>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</si>
  <si>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</si>
  <si>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</si>
  <si>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</si>
  <si>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</si>
  <si>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</si>
  <si>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</si>
  <si>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</si>
  <si>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</si>
  <si>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</si>
  <si>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</si>
  <si>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</si>
  <si>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</si>
  <si>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</si>
  <si>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</si>
  <si>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</si>
  <si>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</si>
  <si>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</si>
  <si>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</si>
  <si>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</si>
  <si>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</si>
  <si>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</si>
  <si>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</si>
  <si>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</si>
  <si>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</si>
  <si>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</si>
  <si>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</si>
  <si>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</si>
  <si>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</si>
  <si>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</si>
  <si>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</si>
  <si>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</si>
  <si>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</si>
  <si>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</si>
  <si>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</si>
  <si>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</si>
  <si>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</si>
  <si>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</si>
  <si>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</si>
  <si>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</si>
  <si>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</si>
  <si>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</si>
  <si>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</si>
  <si>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</si>
  <si>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</si>
  <si>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</si>
  <si>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</si>
  <si>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</si>
  <si>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</si>
  <si>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</si>
  <si>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</si>
  <si>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</si>
  <si>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</si>
  <si>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</si>
  <si>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</si>
  <si>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</si>
  <si>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</si>
  <si>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</si>
  <si>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</si>
  <si>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</si>
  <si>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</si>
  <si>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</si>
  <si>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</si>
  <si>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</si>
  <si>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</si>
  <si>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</si>
  <si>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</si>
  <si>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</si>
  <si>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</si>
  <si>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</si>
  <si>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</si>
  <si>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</si>
  <si>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</si>
  <si>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</si>
  <si>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</si>
  <si>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</si>
  <si>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</si>
  <si>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</si>
  <si>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</si>
  <si>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</si>
  <si>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</si>
  <si>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</si>
  <si>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</si>
  <si>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</si>
  <si>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</si>
  <si>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</si>
  <si>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</si>
  <si>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</si>
  <si>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</si>
  <si>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</si>
  <si>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</si>
  <si>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</si>
  <si>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</si>
  <si>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</si>
  <si>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</si>
  <si>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</si>
  <si>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</si>
  <si>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</si>
  <si>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</si>
  <si>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</si>
  <si>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</si>
  <si>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</si>
  <si>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</si>
  <si>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</si>
  <si>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</si>
  <si>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</si>
  <si>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</si>
  <si>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</si>
  <si>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</si>
  <si>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</si>
  <si>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</si>
  <si>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</si>
  <si>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</si>
  <si>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</si>
  <si>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</si>
  <si>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</si>
  <si>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</si>
  <si>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</si>
  <si>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</si>
  <si>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</si>
  <si>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</si>
  <si>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</si>
  <si>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</si>
  <si>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</si>
  <si>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</si>
  <si>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</si>
  <si>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</si>
  <si>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</si>
  <si>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</si>
  <si>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</si>
  <si>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</si>
  <si>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</si>
  <si>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</si>
  <si>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</si>
  <si>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</si>
  <si>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</si>
  <si>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</si>
  <si>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</si>
  <si>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</si>
  <si>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</si>
  <si>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</si>
  <si>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</si>
  <si>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</si>
  <si>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</si>
  <si>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</si>
  <si>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</si>
  <si>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</si>
  <si>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</si>
  <si>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</si>
  <si>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</si>
  <si>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</si>
  <si>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</si>
  <si>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</si>
  <si>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</si>
  <si>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</si>
  <si>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</si>
  <si>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</si>
  <si>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</si>
  <si>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</si>
  <si>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</si>
  <si>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</si>
  <si>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</si>
  <si>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</si>
  <si>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</si>
  <si>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</si>
  <si>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</si>
  <si>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</si>
  <si>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</si>
  <si>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</si>
  <si>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</si>
  <si>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</si>
  <si>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</si>
  <si>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</si>
  <si>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</si>
  <si>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</si>
  <si>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</si>
  <si>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</si>
  <si>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</si>
  <si>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</si>
  <si>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</si>
  <si>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</si>
  <si>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</si>
  <si>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</si>
  <si>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</si>
  <si>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</si>
  <si>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</si>
  <si>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</si>
  <si>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</si>
  <si>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</si>
  <si>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</si>
  <si>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</si>
  <si>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</si>
  <si>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</si>
  <si>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</si>
  <si>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</si>
  <si>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</si>
  <si>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</si>
  <si>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</si>
  <si>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</si>
  <si>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</si>
  <si>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</si>
  <si>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</si>
  <si>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</si>
  <si>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</si>
  <si>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</si>
  <si>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</si>
  <si>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</si>
  <si>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</si>
  <si>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</si>
  <si>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</si>
  <si>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</si>
  <si>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</si>
  <si>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</si>
  <si>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</si>
  <si>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</si>
  <si>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</si>
  <si>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</si>
  <si>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</si>
  <si>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</si>
  <si>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</si>
  <si>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</si>
  <si>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</si>
  <si>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</si>
  <si>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</si>
  <si>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</si>
  <si>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</si>
  <si>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</si>
  <si>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</si>
  <si>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</si>
  <si>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</si>
  <si>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</si>
  <si>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</si>
  <si>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</si>
  <si>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</si>
  <si>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</si>
  <si>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</si>
  <si>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</si>
  <si>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</si>
  <si>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</si>
  <si>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</si>
  <si>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</si>
  <si>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</si>
  <si>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</si>
  <si>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</si>
  <si>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</si>
  <si>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</si>
  <si>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</si>
  <si>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</si>
  <si>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</si>
  <si>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</si>
  <si>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</si>
  <si>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</si>
  <si>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</si>
  <si>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</si>
  <si>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</si>
  <si>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</si>
  <si>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</si>
  <si>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</si>
  <si>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</si>
  <si>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</si>
  <si>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</si>
  <si>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</si>
  <si>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</si>
  <si>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</si>
  <si>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</si>
  <si>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</si>
  <si>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</si>
  <si>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</si>
  <si>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</si>
  <si>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</si>
  <si>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</si>
  <si>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</si>
  <si>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</si>
  <si>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</si>
  <si>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</si>
  <si>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</si>
  <si>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</si>
  <si>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</si>
  <si>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</si>
  <si>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</si>
  <si>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</si>
  <si>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</si>
  <si>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</si>
  <si>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</si>
  <si>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</si>
  <si>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</si>
  <si>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</si>
  <si>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</si>
  <si>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</si>
  <si>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</si>
  <si>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</si>
  <si>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</si>
  <si>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</si>
  <si>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</si>
  <si>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</si>
  <si>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</si>
  <si>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</si>
  <si>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</si>
  <si>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</si>
  <si>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</si>
  <si>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</si>
  <si>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</si>
  <si>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</si>
  <si>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</si>
  <si>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</si>
  <si>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</si>
  <si>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</si>
  <si>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</si>
  <si>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</si>
  <si>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</si>
  <si>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</si>
  <si>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</si>
  <si>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</si>
  <si>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</si>
  <si>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</si>
  <si>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</si>
  <si>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</si>
  <si>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</si>
  <si>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</si>
  <si>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</si>
  <si>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</si>
  <si>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</si>
  <si>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</si>
  <si>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</si>
  <si>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</si>
  <si>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</si>
  <si>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</si>
  <si>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</si>
  <si>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</si>
  <si>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</si>
  <si>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</si>
  <si>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</si>
  <si>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</si>
  <si>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</si>
  <si>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</si>
  <si>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</si>
  <si>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</si>
  <si>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</si>
  <si>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</si>
  <si>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</si>
  <si>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</si>
  <si>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</si>
  <si>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</si>
  <si>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</si>
  <si>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</si>
  <si>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</si>
  <si>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</si>
  <si>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</si>
  <si>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</si>
  <si>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</si>
  <si>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</si>
  <si>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</si>
  <si>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</si>
  <si>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</si>
  <si>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</si>
  <si>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</si>
  <si>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</si>
  <si>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</si>
  <si>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</si>
  <si>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</si>
  <si>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</si>
  <si>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</si>
  <si>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</si>
  <si>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</si>
  <si>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</si>
  <si>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</si>
  <si>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</si>
  <si>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</si>
  <si>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</si>
  <si>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</si>
  <si>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</si>
  <si>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</si>
  <si>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</si>
  <si>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</si>
  <si>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</si>
  <si>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</si>
  <si>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</si>
  <si>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</si>
  <si>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</si>
  <si>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</si>
  <si>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</si>
  <si>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</si>
  <si>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</si>
  <si>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</si>
  <si>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</si>
  <si>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</si>
  <si>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</si>
  <si>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</si>
  <si>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</si>
  <si>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</si>
  <si>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</si>
  <si>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</si>
  <si>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</si>
  <si>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</si>
  <si>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</si>
  <si>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</si>
  <si>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</si>
  <si>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</si>
  <si>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</si>
  <si>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</si>
  <si>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</si>
  <si>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</si>
  <si>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</si>
  <si>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</si>
  <si>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</si>
  <si>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</si>
  <si>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</si>
  <si>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</si>
  <si>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</si>
  <si>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</si>
  <si>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</si>
  <si>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</si>
  <si>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</si>
  <si>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</si>
  <si>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</si>
  <si>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</si>
  <si>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</si>
  <si>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</si>
  <si>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</si>
  <si>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</si>
  <si>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</si>
  <si>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</si>
  <si>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</si>
  <si>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</si>
  <si>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</si>
  <si>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</si>
  <si>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</si>
  <si>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</si>
  <si>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</si>
  <si>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</si>
  <si>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</si>
  <si>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</si>
  <si>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</si>
  <si>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</si>
  <si>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</si>
  <si>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</si>
  <si>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</si>
  <si>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</si>
  <si>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</si>
  <si>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</si>
  <si>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</si>
  <si>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</si>
  <si>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</si>
  <si>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</si>
  <si>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</si>
  <si>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</si>
  <si>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</si>
  <si>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</si>
  <si>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</si>
  <si>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</si>
  <si>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</si>
  <si>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</si>
  <si>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</si>
  <si>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</si>
  <si>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</si>
  <si>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</si>
  <si>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</si>
  <si>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</si>
  <si>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</si>
  <si>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</si>
  <si>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</si>
  <si>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</si>
  <si>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</si>
  <si>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</si>
  <si>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</si>
  <si>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</si>
  <si>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</si>
  <si>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</si>
  <si>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</si>
  <si>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</si>
  <si>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</si>
  <si>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</si>
  <si>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</si>
  <si>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</si>
  <si>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</si>
  <si>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</si>
  <si>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</si>
  <si>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</si>
  <si>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</si>
  <si>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</si>
  <si>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</si>
  <si>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</si>
  <si>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</si>
  <si>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</si>
  <si>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</si>
  <si>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</si>
  <si>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</si>
  <si>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</si>
  <si>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</si>
  <si>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</si>
  <si>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</si>
  <si>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</si>
  <si>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</si>
  <si>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</si>
  <si>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</si>
  <si>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</si>
  <si>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</si>
  <si>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</si>
  <si>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</si>
  <si>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</si>
  <si>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</si>
  <si>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</si>
  <si>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</si>
  <si>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</si>
  <si>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</si>
  <si>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</si>
  <si>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</si>
  <si>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</si>
  <si>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</si>
  <si>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</si>
  <si>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</si>
  <si>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</si>
  <si>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</si>
  <si>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</si>
  <si>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</si>
  <si>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</si>
  <si>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</si>
  <si>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</si>
  <si>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</si>
  <si>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</si>
  <si>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</si>
  <si>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</si>
  <si>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</si>
  <si>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</si>
  <si>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</si>
  <si>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</si>
  <si>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</si>
  <si>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</si>
  <si>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</si>
  <si>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</si>
  <si>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</si>
  <si>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</si>
  <si>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</si>
  <si>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</si>
  <si>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</si>
  <si>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</si>
  <si>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</si>
  <si>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</si>
  <si>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</si>
  <si>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</si>
  <si>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</si>
  <si>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</si>
  <si>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</si>
  <si>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</si>
  <si>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</si>
  <si>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</si>
  <si>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</si>
  <si>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</si>
  <si>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</si>
  <si>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</si>
  <si>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</si>
  <si>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</si>
  <si>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</si>
  <si>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</si>
  <si>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</si>
  <si>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</si>
  <si>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</si>
  <si>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</si>
  <si>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</si>
  <si>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</si>
  <si>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</si>
  <si>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</si>
  <si>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</si>
  <si>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</si>
  <si>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</si>
  <si>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</si>
  <si>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</si>
  <si>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</si>
  <si>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</si>
  <si>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</si>
  <si>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</si>
  <si>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</si>
  <si>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</si>
  <si>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</si>
  <si>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</si>
  <si>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</si>
  <si>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</si>
  <si>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</si>
  <si>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</si>
  <si>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</si>
  <si>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</si>
  <si>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</si>
  <si>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</si>
  <si>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</si>
  <si>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</si>
  <si>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</si>
  <si>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</si>
  <si>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</si>
  <si>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</si>
  <si>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</si>
  <si>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</si>
  <si>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</si>
  <si>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</si>
  <si>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</si>
  <si>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</si>
  <si>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</si>
  <si>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</si>
  <si>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</si>
  <si>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</si>
  <si>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</si>
  <si>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</si>
  <si>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</si>
  <si>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</si>
  <si>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</si>
  <si>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</si>
  <si>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</si>
  <si>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</si>
  <si>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</si>
  <si>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</si>
  <si>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</si>
  <si>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</si>
  <si>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</si>
  <si>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</si>
  <si>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</si>
  <si>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</si>
  <si>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</si>
  <si>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</si>
  <si>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</si>
  <si>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</si>
  <si>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</si>
  <si>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</si>
  <si>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</si>
  <si>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</si>
  <si>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</si>
  <si>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</si>
  <si>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</si>
  <si>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</si>
  <si>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</si>
  <si>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</si>
  <si>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</si>
  <si>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</si>
  <si>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</si>
  <si>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</si>
  <si>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</si>
  <si>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</si>
  <si>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</si>
  <si>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</si>
  <si>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</si>
  <si>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</si>
  <si>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</si>
  <si>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</si>
  <si>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</si>
  <si>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</si>
  <si>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</si>
  <si>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</si>
  <si>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</si>
  <si>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</si>
  <si>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</si>
  <si>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</si>
  <si>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</si>
  <si>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</si>
  <si>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</si>
  <si>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</si>
  <si>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</si>
  <si>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</si>
  <si>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</si>
  <si>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</si>
  <si>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</si>
  <si>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</si>
  <si>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</si>
  <si>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</si>
  <si>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</si>
  <si>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</si>
  <si>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</si>
  <si>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</si>
  <si>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</si>
  <si>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</si>
  <si>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</si>
  <si>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</si>
  <si>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</si>
  <si>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</si>
  <si>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</si>
  <si>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</si>
  <si>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</si>
  <si>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</si>
  <si>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</si>
  <si>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</si>
  <si>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</si>
  <si>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</si>
  <si>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</si>
  <si>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</si>
  <si>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</si>
  <si>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</si>
  <si>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</si>
  <si>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</si>
  <si>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</si>
  <si>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</si>
  <si>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</si>
  <si>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</si>
  <si>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</si>
  <si>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</si>
  <si>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</si>
  <si>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</si>
  <si>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</si>
  <si>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</si>
  <si>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</si>
  <si>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</si>
  <si>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</si>
  <si>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</si>
  <si>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</si>
  <si>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</si>
  <si>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</si>
  <si>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</si>
  <si>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</si>
  <si>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</si>
  <si>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</si>
  <si>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</si>
  <si>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</si>
  <si>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</si>
  <si>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</si>
  <si>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</si>
  <si>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</si>
  <si>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</si>
  <si>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</si>
  <si>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</si>
  <si>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</si>
  <si>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</si>
  <si>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</si>
  <si>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</si>
  <si>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</si>
  <si>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</si>
  <si>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</si>
  <si>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</si>
  <si>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</si>
  <si>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</si>
  <si>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</si>
  <si>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</si>
  <si>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</si>
  <si>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</si>
  <si>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</si>
  <si>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</si>
  <si>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</si>
  <si>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</si>
  <si>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</si>
  <si>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</si>
  <si>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</si>
  <si>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</si>
  <si>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</si>
  <si>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</si>
  <si>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</si>
  <si>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</si>
  <si>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</si>
  <si>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</si>
  <si>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</si>
  <si>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</si>
  <si>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</si>
  <si>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</si>
  <si>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</si>
  <si>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</si>
  <si>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</si>
  <si>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</si>
  <si>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</si>
  <si>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</si>
  <si>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</si>
  <si>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</si>
  <si>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</si>
  <si>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</si>
  <si>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</si>
  <si>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</si>
  <si>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</si>
  <si>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</si>
  <si>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</si>
  <si>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</si>
  <si>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</si>
  <si>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</si>
  <si>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</si>
  <si>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</si>
  <si>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</si>
  <si>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</si>
  <si>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</si>
  <si>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</si>
  <si>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</si>
  <si>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</si>
  <si>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</si>
  <si>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</si>
  <si>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</si>
  <si>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</si>
  <si>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</si>
  <si>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</si>
  <si>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</si>
  <si>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</si>
  <si>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</si>
  <si>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</si>
  <si>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</si>
  <si>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</si>
  <si>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</si>
  <si>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</si>
  <si>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</si>
  <si>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</si>
  <si>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</si>
  <si>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</si>
  <si>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</si>
  <si>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</si>
  <si>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</si>
  <si>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</si>
  <si>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</si>
  <si>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</si>
  <si>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</si>
  <si>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</si>
  <si>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</si>
  <si>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</si>
  <si>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</si>
  <si>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</si>
  <si>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</si>
  <si>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</si>
  <si>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</si>
  <si>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</si>
  <si>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</si>
  <si>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</si>
  <si>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</si>
  <si>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</si>
  <si>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</si>
  <si>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</si>
  <si>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</si>
  <si>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</si>
  <si>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</si>
  <si>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</si>
  <si>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</si>
  <si>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</si>
  <si>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</si>
  <si>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</si>
  <si>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</si>
  <si>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</si>
  <si>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</si>
  <si>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</si>
  <si>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</si>
  <si>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</si>
  <si>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</si>
  <si>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</si>
  <si>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</si>
  <si>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</si>
  <si>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</si>
  <si>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</si>
  <si>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</si>
  <si>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</si>
  <si>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</si>
  <si>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</si>
  <si>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</si>
  <si>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</si>
  <si>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</si>
  <si>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</si>
  <si>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</si>
  <si>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</si>
  <si>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</si>
  <si>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</si>
  <si>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</si>
  <si>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</si>
  <si>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</si>
  <si>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</si>
  <si>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</si>
  <si>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</si>
  <si>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</si>
  <si>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</si>
  <si>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</si>
  <si>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</si>
  <si>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</si>
  <si>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</si>
  <si>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</si>
  <si>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</si>
  <si>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</si>
  <si>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</si>
  <si>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</si>
  <si>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</si>
  <si>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</si>
  <si>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</si>
  <si>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</si>
  <si>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</si>
  <si>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</si>
  <si>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</si>
  <si>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</si>
  <si>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</si>
  <si>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</si>
  <si>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</si>
  <si>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</si>
  <si>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</si>
  <si>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</si>
  <si>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</si>
  <si>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</si>
  <si>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</si>
  <si>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</si>
  <si>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</si>
  <si>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</si>
  <si>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</si>
  <si>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</si>
  <si>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</si>
  <si>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</si>
  <si>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</si>
  <si>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</si>
  <si>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</si>
  <si>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</si>
  <si>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</si>
  <si>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</si>
  <si>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</si>
  <si>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</si>
  <si>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</si>
  <si>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</si>
  <si>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</si>
  <si>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</si>
  <si>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</si>
  <si>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</si>
  <si>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</si>
  <si>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</si>
  <si>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</si>
  <si>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</si>
  <si>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</si>
  <si>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</si>
  <si>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</si>
  <si>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</si>
  <si>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</si>
  <si>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</si>
  <si>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</si>
  <si>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</si>
  <si>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</si>
  <si>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</si>
  <si>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</si>
  <si>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</si>
  <si>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</si>
  <si>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</si>
  <si>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</si>
  <si>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</si>
  <si>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</si>
  <si>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</si>
  <si>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</si>
  <si>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</si>
  <si>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</si>
  <si>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</si>
  <si>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</si>
  <si>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</si>
  <si>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</si>
  <si>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</si>
  <si>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</si>
  <si>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</si>
  <si>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</si>
  <si>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</si>
  <si>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</si>
  <si>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</si>
  <si>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</si>
  <si>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</si>
  <si>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</si>
  <si>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</si>
  <si>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</si>
  <si>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</si>
  <si>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</si>
  <si>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</si>
  <si>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</si>
  <si>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</si>
  <si>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</si>
  <si>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</si>
  <si>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</si>
  <si>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</si>
  <si>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</si>
  <si>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</si>
  <si>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</si>
  <si>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</si>
  <si>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</si>
  <si>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</si>
  <si>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</si>
  <si>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</si>
  <si>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</si>
  <si>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</si>
  <si>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</si>
  <si>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</si>
  <si>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</si>
  <si>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</si>
  <si>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</si>
  <si>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</si>
  <si>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</si>
  <si>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</si>
  <si>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</si>
  <si>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</si>
  <si>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</si>
  <si>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</si>
  <si>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</si>
  <si>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</si>
  <si>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</si>
  <si>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</si>
  <si>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</si>
  <si>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</si>
  <si>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</si>
  <si>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</si>
  <si>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</si>
  <si>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</si>
  <si>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</si>
  <si>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</si>
  <si>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</si>
  <si>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</si>
  <si>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</si>
  <si>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</si>
  <si>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</si>
  <si>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</si>
  <si>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</si>
  <si>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</si>
  <si>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</si>
  <si>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</si>
  <si>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</si>
  <si>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</si>
  <si>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</si>
  <si>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</si>
  <si>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</si>
  <si>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</si>
  <si>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</si>
  <si>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</si>
  <si>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</si>
  <si>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</si>
  <si>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</si>
  <si>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</si>
  <si>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</si>
  <si>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</si>
  <si>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</si>
  <si>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</si>
  <si>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</si>
  <si>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</si>
  <si>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</si>
  <si>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</si>
  <si>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</si>
  <si>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</si>
  <si>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</si>
  <si>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</si>
  <si>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</si>
  <si>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</si>
  <si>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</si>
  <si>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</si>
  <si>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</si>
  <si>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</si>
  <si>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</si>
  <si>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</si>
  <si>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</si>
  <si>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</si>
  <si>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</si>
  <si>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</si>
  <si>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</si>
  <si>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</si>
  <si>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</si>
  <si>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</si>
  <si>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</si>
  <si>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</si>
  <si>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</si>
  <si>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</si>
  <si>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</si>
  <si>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</si>
  <si>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</si>
  <si>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</si>
  <si>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</si>
  <si>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</si>
  <si>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</si>
  <si>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</si>
  <si>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</si>
  <si>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</si>
  <si>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</si>
  <si>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</si>
  <si>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</si>
  <si>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</si>
  <si>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</si>
  <si>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</si>
  <si>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</si>
  <si>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</si>
  <si>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</si>
  <si>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</si>
  <si>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</si>
  <si>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</si>
  <si>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</si>
  <si>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</si>
  <si>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</si>
  <si>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</si>
  <si>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</si>
  <si>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</si>
  <si>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</si>
  <si>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</si>
  <si>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</si>
  <si>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</si>
  <si>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</si>
  <si>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</si>
  <si>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</si>
  <si>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</si>
  <si>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</si>
  <si>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</si>
  <si>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</si>
  <si>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</si>
  <si>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</si>
  <si>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</si>
  <si>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</si>
  <si>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</si>
  <si>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</si>
  <si>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</si>
  <si>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</si>
  <si>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</si>
  <si>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</si>
  <si>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</si>
  <si>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</si>
  <si>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</si>
  <si>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</si>
  <si>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</si>
  <si>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</si>
  <si>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</si>
  <si>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</si>
  <si>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</si>
  <si>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</si>
  <si>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</si>
  <si>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</si>
  <si>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</si>
  <si>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</si>
  <si>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</si>
  <si>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</si>
  <si>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</si>
  <si>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</si>
  <si>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</si>
  <si>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</si>
  <si>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</si>
  <si>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</si>
  <si>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</si>
  <si>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</si>
  <si>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</si>
  <si>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</si>
  <si>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</si>
  <si>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</si>
  <si>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</si>
  <si>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</si>
  <si>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</si>
  <si>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</si>
  <si>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</si>
  <si>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</si>
  <si>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</si>
  <si>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</si>
  <si>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</si>
  <si>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</si>
  <si>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</si>
  <si>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</si>
  <si>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</si>
  <si>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</si>
  <si>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</si>
  <si>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</si>
  <si>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</si>
  <si>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</si>
  <si>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</si>
  <si>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</si>
  <si>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</si>
  <si>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</si>
  <si>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</si>
  <si>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</si>
  <si>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</si>
  <si>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</si>
  <si>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</si>
  <si>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</si>
  <si>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</si>
  <si>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</si>
  <si>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</si>
  <si>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</si>
  <si>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</si>
  <si>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</si>
  <si>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</si>
  <si>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</si>
  <si>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</si>
  <si>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</si>
  <si>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</si>
  <si>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</si>
  <si>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</si>
  <si>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</si>
  <si>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</si>
  <si>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</si>
  <si>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</si>
  <si>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</si>
  <si>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</si>
  <si>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</si>
  <si>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</si>
  <si>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</si>
  <si>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</si>
  <si>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</si>
  <si>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</si>
  <si>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</si>
  <si>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</si>
  <si>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</si>
  <si>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</si>
  <si>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</si>
  <si>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</si>
  <si>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</si>
  <si>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</si>
  <si>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</si>
  <si>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</si>
  <si>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</si>
  <si>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</si>
  <si>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</si>
  <si>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</si>
  <si>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</si>
  <si>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</si>
  <si>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</si>
  <si>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</si>
  <si>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</si>
  <si>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</si>
  <si>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</si>
  <si>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</si>
  <si>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</si>
  <si>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</si>
  <si>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</si>
  <si>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</si>
  <si>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</si>
  <si>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</si>
  <si>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</si>
  <si>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</si>
  <si>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</si>
  <si>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</si>
  <si>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</si>
  <si>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</si>
  <si>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</si>
  <si>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</si>
  <si>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</si>
  <si>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</si>
  <si>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</si>
  <si>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</si>
  <si>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</si>
  <si>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</si>
  <si>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</si>
  <si>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</si>
  <si>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</si>
  <si>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</si>
  <si>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</si>
  <si>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</si>
  <si>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</si>
  <si>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</si>
  <si>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</si>
  <si>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</si>
  <si>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</si>
  <si>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</si>
  <si>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</si>
  <si>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</si>
  <si>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</si>
  <si>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</si>
  <si>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</si>
  <si>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</si>
  <si>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</si>
  <si>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</si>
  <si>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</si>
  <si>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</si>
  <si>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</si>
  <si>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</si>
  <si>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</si>
  <si>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</si>
  <si>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</si>
  <si>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</si>
  <si>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</si>
  <si>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</si>
  <si>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</si>
  <si>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</si>
  <si>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</si>
  <si>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</si>
  <si>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</si>
  <si>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</si>
  <si>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</si>
  <si>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</si>
  <si>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</si>
  <si>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</si>
  <si>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</si>
  <si>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</si>
  <si>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</si>
  <si>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</si>
  <si>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</si>
  <si>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</si>
  <si>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</si>
  <si>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</si>
  <si>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</si>
  <si>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</si>
  <si>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</si>
  <si>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</si>
  <si>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</si>
  <si>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</si>
  <si>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</si>
  <si>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</si>
  <si>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</si>
  <si>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</si>
  <si>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</si>
  <si>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</si>
  <si>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</si>
  <si>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</si>
  <si>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</si>
  <si>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</si>
  <si>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</si>
  <si>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</si>
  <si>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</si>
  <si>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</si>
  <si>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</si>
  <si>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</si>
  <si>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</si>
  <si>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</si>
  <si>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</si>
  <si>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</si>
  <si>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</si>
  <si>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</si>
  <si>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</si>
  <si>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</si>
  <si>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</si>
  <si>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</si>
  <si>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</si>
  <si>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</si>
  <si>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</si>
  <si>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</si>
  <si>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</si>
  <si>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</si>
  <si>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</si>
  <si>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</si>
  <si>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</si>
  <si>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</si>
  <si>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</si>
  <si>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</si>
  <si>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</si>
  <si>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</si>
  <si>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</si>
  <si>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</si>
  <si>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</si>
  <si>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</si>
  <si>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</si>
  <si>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</si>
  <si>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</si>
  <si>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</si>
  <si>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</si>
  <si>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</si>
  <si>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</si>
  <si>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</si>
  <si>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</si>
  <si>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</si>
  <si>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</si>
  <si>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</si>
  <si>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</si>
  <si>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</si>
  <si>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</si>
  <si>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</si>
  <si>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</si>
  <si>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</si>
  <si>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</si>
  <si>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</si>
  <si>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</si>
  <si>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</si>
  <si>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</si>
  <si>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</si>
  <si>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</si>
  <si>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</si>
  <si>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</si>
  <si>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</si>
  <si>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</si>
  <si>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</si>
  <si>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</si>
  <si>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</si>
  <si>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</si>
  <si>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</si>
  <si>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</si>
  <si>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</si>
  <si>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</si>
  <si>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</si>
  <si>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</si>
  <si>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</si>
  <si>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</si>
  <si>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</si>
  <si>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</si>
  <si>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</si>
  <si>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</si>
  <si>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</si>
  <si>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</si>
  <si>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</si>
  <si>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</si>
  <si>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</si>
  <si>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</si>
  <si>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</si>
  <si>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</si>
  <si>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</si>
  <si>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</si>
  <si>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</si>
  <si>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</si>
  <si>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</si>
  <si>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</si>
  <si>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</si>
  <si>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</si>
  <si>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</si>
  <si>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</si>
  <si>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</si>
  <si>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</si>
  <si>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</si>
  <si>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</si>
  <si>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</si>
  <si>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</si>
  <si>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</si>
  <si>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</si>
  <si>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</si>
  <si>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</si>
  <si>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</si>
  <si>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</si>
  <si>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</si>
  <si>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</si>
  <si>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</si>
  <si>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</si>
  <si>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</si>
  <si>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</si>
  <si>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</si>
  <si>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</si>
  <si>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</si>
  <si>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</si>
  <si>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</si>
  <si>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</si>
  <si>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</si>
  <si>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</si>
  <si>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</si>
  <si>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</si>
  <si>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</si>
  <si>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</si>
  <si>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</si>
  <si>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</si>
  <si>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</si>
  <si>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</si>
  <si>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</si>
  <si>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</si>
  <si>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</si>
  <si>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</si>
  <si>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</si>
  <si>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</si>
  <si>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</si>
  <si>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</si>
  <si>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</si>
  <si>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</si>
  <si>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</si>
  <si>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</si>
  <si>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</si>
  <si>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</si>
  <si>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</si>
  <si>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</si>
  <si>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</si>
  <si>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</si>
  <si>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</si>
  <si>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</si>
  <si>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</si>
  <si>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</si>
  <si>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</si>
  <si>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</si>
  <si>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</si>
  <si>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</si>
  <si>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</si>
  <si>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</si>
  <si>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</si>
  <si>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</si>
  <si>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</si>
  <si>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</si>
  <si>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</si>
  <si>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</si>
  <si>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</si>
  <si>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</si>
  <si>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</si>
  <si>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</si>
  <si>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</si>
  <si>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</si>
  <si>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</si>
  <si>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</si>
  <si>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</si>
  <si>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</si>
  <si>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</si>
  <si>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</si>
  <si>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</si>
  <si>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</si>
  <si>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</si>
  <si>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</si>
  <si>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</si>
  <si>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</si>
  <si>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</si>
  <si>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</si>
  <si>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</si>
  <si>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</si>
  <si>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</si>
  <si>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</si>
  <si>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</si>
  <si>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</si>
  <si>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</si>
  <si>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</si>
  <si>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</si>
  <si>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</si>
  <si>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</si>
  <si>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</si>
  <si>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</si>
  <si>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</si>
  <si>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</si>
  <si>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</si>
  <si>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</si>
  <si>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</si>
  <si>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</si>
  <si>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</si>
  <si>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</si>
  <si>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</si>
  <si>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</si>
  <si>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</si>
  <si>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10858279999</t>
  </si>
  <si>
    <t>54189804734</t>
  </si>
  <si>
    <t>02307731</t>
  </si>
  <si>
    <t>080631487</t>
  </si>
  <si>
    <t>Vodoopskrba i odvodnja Zagrebačke županije d.o.o.</t>
  </si>
  <si>
    <t>Vukomerečka cesta 89</t>
  </si>
  <si>
    <t>martina.vozdecki@viozz.hr</t>
  </si>
  <si>
    <t>viozz@viozz.hr</t>
  </si>
  <si>
    <t>Martina Vozdecki</t>
  </si>
  <si>
    <t>013492107</t>
  </si>
  <si>
    <t>HSFI</t>
  </si>
  <si>
    <t>Tomislav Masten, dipl.polit.</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</si>
</sst>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75207265.74000001</v>
      </c>
      <c r="I3" s="27">
        <f>ABS(ROUND(J3,0)-J3)+ABS(ROUND(K3,0)-K3)</f>
        <v>0</v>
      </c>
      <c r="J3" s="27">
        <f>Bilanca!I10</f>
        <v>1120758325</v>
      </c>
      <c r="K3" s="27">
        <f>Bilanca!J10</f>
        <v>1319802481</v>
      </c>
    </row>
    <row r="4" spans="1:11" ht="12.75">
      <c r="A4" s="4" t="s">
        <v>2697</v>
      </c>
      <c r="B4" s="25" t="s">
        <v>364</v>
      </c>
      <c r="D4" s="4" t="s">
        <v>554</v>
      </c>
      <c r="E4" s="4">
        <v>1</v>
      </c>
      <c r="F4" s="4">
        <f>Bilanca!G11</f>
        <v>3</v>
      </c>
      <c r="G4" s="4">
        <f>IF(Bilanca!H11=0,"",Bilanca!H11)</f>
      </c>
      <c r="H4" s="26">
        <f>J4/100*F4+2*K4/100*F4</f>
        <v>1713578.37</v>
      </c>
      <c r="I4" s="27">
        <f>ABS(ROUND(J4,0)-J4)+ABS(ROUND(K4,0)-K4)</f>
        <v>0</v>
      </c>
      <c r="J4" s="27">
        <f>Bilanca!I11</f>
        <v>18965823</v>
      </c>
      <c r="K4" s="27">
        <f>Bilanca!J11</f>
        <v>19076728</v>
      </c>
    </row>
    <row r="5" spans="1:11" ht="12.75">
      <c r="A5" s="4" t="s">
        <v>2742</v>
      </c>
      <c r="B5" s="25">
        <f>IF(ISNUMBER(RefStr!C17),RefStr!C17,0)</f>
        <v>10</v>
      </c>
      <c r="D5" s="4" t="s">
        <v>554</v>
      </c>
      <c r="E5" s="4">
        <v>1</v>
      </c>
      <c r="F5" s="4">
        <f>Bilanca!G12</f>
        <v>4</v>
      </c>
      <c r="G5" s="4">
        <f>IF(Bilanca!H12=0,"",Bilanca!H12)</f>
      </c>
      <c r="H5" s="26">
        <f>J5/100*F5+2*K5/100*F5</f>
        <v>100843.08</v>
      </c>
      <c r="I5" s="27">
        <f>ABS(ROUND(J5,0)-J5)+ABS(ROUND(K5,0)-K5)</f>
        <v>0</v>
      </c>
      <c r="J5" s="27">
        <f>Bilanca!I12</f>
        <v>840359</v>
      </c>
      <c r="K5" s="27">
        <f>Bilanca!J12</f>
        <v>840359</v>
      </c>
    </row>
    <row r="6" spans="1:11" ht="12.75">
      <c r="A6" s="4" t="s">
        <v>1560</v>
      </c>
      <c r="B6" s="25" t="str">
        <f>RefStr!H27</f>
        <v>02307731</v>
      </c>
      <c r="D6" s="4" t="s">
        <v>554</v>
      </c>
      <c r="E6" s="4">
        <v>1</v>
      </c>
      <c r="F6" s="4">
        <f>Bilanca!G13</f>
        <v>5</v>
      </c>
      <c r="G6" s="4">
        <f>IF(Bilanca!H13=0,"",Bilanca!H13)</f>
      </c>
      <c r="H6" s="26">
        <f aca="true" t="shared" si="0" ref="H6:H45">J6/100*F6+2*K6/100*F6</f>
        <v>60486.1</v>
      </c>
      <c r="I6" s="27">
        <f aca="true" t="shared" si="1" ref="I6:I45">ABS(ROUND(J6,0)-J6)+ABS(ROUND(K6,0)-K6)</f>
        <v>0</v>
      </c>
      <c r="J6" s="27">
        <f>Bilanca!I13</f>
        <v>389002</v>
      </c>
      <c r="K6" s="27">
        <f>Bilanca!J13</f>
        <v>410360</v>
      </c>
    </row>
    <row r="7" spans="1:11" ht="12.75">
      <c r="A7" s="4" t="s">
        <v>1561</v>
      </c>
      <c r="B7" s="25" t="str">
        <f>RefStr!M27</f>
        <v>080631487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54189804734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Vodoopskrba i odvodnja Zagrebačke županije d.o.o.</v>
      </c>
      <c r="D9" s="4" t="s">
        <v>554</v>
      </c>
      <c r="E9" s="4">
        <v>1</v>
      </c>
      <c r="F9" s="4">
        <f>Bilanca!G16</f>
        <v>8</v>
      </c>
      <c r="G9" s="4">
        <f>IF(Bilanca!H16=0,"",Bilanca!H16)</f>
      </c>
      <c r="H9" s="26">
        <f t="shared" si="0"/>
        <v>4271078.4</v>
      </c>
      <c r="I9" s="27">
        <f t="shared" si="1"/>
        <v>0</v>
      </c>
      <c r="J9" s="27">
        <f>Bilanca!I16</f>
        <v>17736462</v>
      </c>
      <c r="K9" s="27">
        <f>Bilanca!J16</f>
        <v>17826009</v>
      </c>
    </row>
    <row r="10" spans="1:11" ht="12.75">
      <c r="A10" s="4" t="s">
        <v>2736</v>
      </c>
      <c r="B10" s="25" t="str">
        <f>TEXT(RefStr!C31,"00000")</f>
        <v>10000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Zagreb</v>
      </c>
      <c r="D11" s="4" t="s">
        <v>554</v>
      </c>
      <c r="E11" s="4">
        <v>1</v>
      </c>
      <c r="F11" s="4">
        <f>Bilanca!G18</f>
        <v>10</v>
      </c>
      <c r="G11" s="4">
        <f>IF(Bilanca!H18=0,"",Bilanca!H18)</f>
      </c>
      <c r="H11" s="26">
        <f t="shared" si="0"/>
        <v>370233935.2</v>
      </c>
      <c r="I11" s="27">
        <f t="shared" si="1"/>
        <v>0</v>
      </c>
      <c r="J11" s="27">
        <f>Bilanca!I18</f>
        <v>1101490950</v>
      </c>
      <c r="K11" s="27">
        <f>Bilanca!J18</f>
        <v>1300424201</v>
      </c>
    </row>
    <row r="12" spans="1:11" ht="12.75">
      <c r="A12" s="4" t="s">
        <v>2738</v>
      </c>
      <c r="B12" s="25" t="str">
        <f>TRIM(RefStr!C33)</f>
        <v>Vukomerečka cesta 89</v>
      </c>
      <c r="D12" s="4" t="s">
        <v>554</v>
      </c>
      <c r="E12" s="4">
        <v>1</v>
      </c>
      <c r="F12" s="4">
        <f>Bilanca!G19</f>
        <v>11</v>
      </c>
      <c r="G12" s="4">
        <f>IF(Bilanca!H19=0,"",Bilanca!H19)</f>
      </c>
      <c r="H12" s="26">
        <f t="shared" si="0"/>
        <v>8350309.33</v>
      </c>
      <c r="I12" s="27">
        <f t="shared" si="1"/>
        <v>0</v>
      </c>
      <c r="J12" s="27">
        <f>Bilanca!I19</f>
        <v>24490489</v>
      </c>
      <c r="K12" s="27">
        <f>Bilanca!J19</f>
        <v>25710707</v>
      </c>
    </row>
    <row r="13" spans="1:11" ht="12.75">
      <c r="A13" s="4" t="s">
        <v>2884</v>
      </c>
      <c r="B13" s="25" t="str">
        <f>TRIM(RefStr!C35)</f>
        <v>martina.vozdecki@viozz.hr</v>
      </c>
      <c r="D13" s="4" t="s">
        <v>554</v>
      </c>
      <c r="E13" s="4">
        <v>1</v>
      </c>
      <c r="F13" s="4">
        <f>Bilanca!G20</f>
        <v>12</v>
      </c>
      <c r="G13" s="4">
        <f>IF(Bilanca!H20=0,"",Bilanca!H20)</f>
      </c>
      <c r="H13" s="26">
        <f t="shared" si="0"/>
        <v>175910687.4</v>
      </c>
      <c r="I13" s="27">
        <f t="shared" si="1"/>
        <v>0</v>
      </c>
      <c r="J13" s="27">
        <f>Bilanca!I20</f>
        <v>496806445</v>
      </c>
      <c r="K13" s="27">
        <f>Bilanca!J20</f>
        <v>484557975</v>
      </c>
    </row>
    <row r="14" spans="1:11" ht="12.75">
      <c r="A14" s="4" t="s">
        <v>2885</v>
      </c>
      <c r="B14" s="25" t="str">
        <f>TRIM(RefStr!C37)</f>
        <v>viozz@viozz.hr</v>
      </c>
      <c r="D14" s="4" t="s">
        <v>554</v>
      </c>
      <c r="E14" s="4">
        <v>1</v>
      </c>
      <c r="F14" s="4">
        <f>Bilanca!G21</f>
        <v>13</v>
      </c>
      <c r="G14" s="4">
        <f>IF(Bilanca!H21=0,"",Bilanca!H21)</f>
      </c>
      <c r="H14" s="26">
        <f t="shared" si="0"/>
        <v>2482187.2399999998</v>
      </c>
      <c r="I14" s="27">
        <f t="shared" si="1"/>
        <v>0</v>
      </c>
      <c r="J14" s="27">
        <f>Bilanca!I21</f>
        <v>5917310</v>
      </c>
      <c r="K14" s="27">
        <f>Bilanca!J21</f>
        <v>6588219</v>
      </c>
    </row>
    <row r="15" spans="1:11" ht="12.75">
      <c r="A15" s="4" t="s">
        <v>2741</v>
      </c>
      <c r="B15" s="25" t="str">
        <f>TEXT(RefStr!J39,"00")</f>
        <v>21</v>
      </c>
      <c r="D15" s="4" t="s">
        <v>554</v>
      </c>
      <c r="E15" s="4">
        <v>1</v>
      </c>
      <c r="F15" s="4">
        <f>Bilanca!G22</f>
        <v>14</v>
      </c>
      <c r="G15" s="4">
        <f>IF(Bilanca!H22=0,"",Bilanca!H22)</f>
      </c>
      <c r="H15" s="26">
        <f t="shared" si="0"/>
        <v>1727391.54</v>
      </c>
      <c r="I15" s="27">
        <f t="shared" si="1"/>
        <v>0</v>
      </c>
      <c r="J15" s="27">
        <f>Bilanca!I22</f>
        <v>4366383</v>
      </c>
      <c r="K15" s="27">
        <f>Bilanca!J22</f>
        <v>3986064</v>
      </c>
    </row>
    <row r="16" spans="1:11" ht="12.75">
      <c r="A16" s="4" t="s">
        <v>2740</v>
      </c>
      <c r="B16" s="25" t="str">
        <f>TEXT(RefStr!C39,"000")</f>
        <v>133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51028.48</v>
      </c>
      <c r="I17" s="27">
        <f t="shared" si="1"/>
        <v>0</v>
      </c>
      <c r="J17" s="27">
        <f>Bilanca!I24</f>
        <v>306976</v>
      </c>
      <c r="K17" s="27">
        <f>Bilanca!J24</f>
        <v>5976</v>
      </c>
    </row>
    <row r="18" spans="1:11" ht="12.75">
      <c r="A18" s="4" t="s">
        <v>2886</v>
      </c>
      <c r="B18" s="25" t="str">
        <f>IF(RefStr!C21&lt;&gt;"",RefStr!C21,"")</f>
        <v>NE</v>
      </c>
      <c r="D18" s="4" t="s">
        <v>554</v>
      </c>
      <c r="E18" s="4">
        <v>1</v>
      </c>
      <c r="F18" s="4">
        <f>Bilanca!G25</f>
        <v>17</v>
      </c>
      <c r="G18" s="4">
        <f>IF(Bilanca!H25=0,"",Bilanca!H25)</f>
      </c>
      <c r="H18" s="26">
        <f t="shared" si="0"/>
        <v>361649785.94</v>
      </c>
      <c r="I18" s="27">
        <f t="shared" si="1"/>
        <v>0</v>
      </c>
      <c r="J18" s="27">
        <f>Bilanca!I25</f>
        <v>569402960</v>
      </c>
      <c r="K18" s="27">
        <f>Bilanca!J25</f>
        <v>778974361</v>
      </c>
    </row>
    <row r="19" spans="1:11" ht="12.75">
      <c r="A19" s="4" t="s">
        <v>2887</v>
      </c>
      <c r="B19" s="25" t="str">
        <f>IF(RefStr!I21&lt;&gt;"",RefStr!I21,"")</f>
        <v>DA</v>
      </c>
      <c r="D19" s="4" t="s">
        <v>554</v>
      </c>
      <c r="E19" s="4">
        <v>1</v>
      </c>
      <c r="F19" s="4">
        <f>Bilanca!G26</f>
        <v>18</v>
      </c>
      <c r="G19" s="4">
        <f>IF(Bilanca!H26=0,"",Bilanca!H26)</f>
      </c>
      <c r="H19" s="26">
        <f t="shared" si="0"/>
        <v>252393.3</v>
      </c>
      <c r="I19" s="27">
        <f t="shared" si="1"/>
        <v>0</v>
      </c>
      <c r="J19" s="27">
        <f>Bilanca!I26</f>
        <v>200387</v>
      </c>
      <c r="K19" s="27">
        <f>Bilanca!J26</f>
        <v>600899</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180931.2</v>
      </c>
      <c r="I21" s="27">
        <f t="shared" si="1"/>
        <v>0</v>
      </c>
      <c r="J21" s="27">
        <f>Bilanca!I28</f>
        <v>301552</v>
      </c>
      <c r="K21" s="27">
        <f>Bilanca!J28</f>
        <v>301552</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115</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117</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112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112</v>
      </c>
      <c r="D28" s="4" t="s">
        <v>554</v>
      </c>
      <c r="E28" s="4">
        <v>1</v>
      </c>
      <c r="F28" s="4">
        <f>Bilanca!G35</f>
        <v>27</v>
      </c>
      <c r="G28" s="4">
        <f>IF(Bilanca!H35=0,"",Bilanca!H35)</f>
      </c>
      <c r="H28" s="26">
        <f t="shared" si="0"/>
        <v>136174.77000000002</v>
      </c>
      <c r="I28" s="27">
        <f t="shared" si="1"/>
        <v>0</v>
      </c>
      <c r="J28" s="27">
        <f>Bilanca!I35</f>
        <v>168117</v>
      </c>
      <c r="K28" s="27">
        <f>Bilanca!J35</f>
        <v>168117</v>
      </c>
    </row>
    <row r="29" spans="1:11" ht="12.75">
      <c r="A29" s="4" t="s">
        <v>2897</v>
      </c>
      <c r="B29" s="25">
        <f>RefStr!C60</f>
        <v>12</v>
      </c>
      <c r="D29" s="4" t="s">
        <v>554</v>
      </c>
      <c r="E29" s="4">
        <v>1</v>
      </c>
      <c r="F29" s="4">
        <f>Bilanca!G36</f>
        <v>28</v>
      </c>
      <c r="G29" s="4">
        <f>IF(Bilanca!H36=0,"",Bilanca!H36)</f>
      </c>
      <c r="H29" s="26">
        <f t="shared" si="0"/>
        <v>112085.4</v>
      </c>
      <c r="I29" s="27">
        <f t="shared" si="1"/>
        <v>0</v>
      </c>
      <c r="J29" s="27">
        <f>Bilanca!I36</f>
        <v>133435</v>
      </c>
      <c r="K29" s="27">
        <f>Bilanca!J36</f>
        <v>133435</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76448791.35</v>
      </c>
      <c r="I38" s="27">
        <f t="shared" si="1"/>
        <v>0</v>
      </c>
      <c r="J38" s="27">
        <f>Bilanca!I45</f>
        <v>72678439</v>
      </c>
      <c r="K38" s="27">
        <f>Bilanca!J45</f>
        <v>66969958</v>
      </c>
    </row>
    <row r="39" spans="1:11" ht="12.75">
      <c r="A39" s="4" t="s">
        <v>1611</v>
      </c>
      <c r="B39" s="25" t="str">
        <f>RefStr!C68</f>
        <v>Martina Vozdecki</v>
      </c>
      <c r="D39" s="4" t="s">
        <v>554</v>
      </c>
      <c r="E39" s="4">
        <v>1</v>
      </c>
      <c r="F39" s="4">
        <f>Bilanca!G46</f>
        <v>38</v>
      </c>
      <c r="G39" s="4">
        <f>IF(Bilanca!H46=0,"",Bilanca!H46)</f>
      </c>
      <c r="H39" s="26">
        <f t="shared" si="0"/>
        <v>2567210.08</v>
      </c>
      <c r="I39" s="27">
        <f t="shared" si="1"/>
        <v>0</v>
      </c>
      <c r="J39" s="27">
        <f>Bilanca!I46</f>
        <v>2125106</v>
      </c>
      <c r="K39" s="27">
        <f>Bilanca!J46</f>
        <v>2315355</v>
      </c>
    </row>
    <row r="40" spans="1:11" ht="12.75">
      <c r="A40" s="4" t="s">
        <v>1612</v>
      </c>
      <c r="B40" s="25" t="str">
        <f>TRIM(RefStr!C70)</f>
        <v>013492107</v>
      </c>
      <c r="D40" s="4" t="s">
        <v>554</v>
      </c>
      <c r="E40" s="4">
        <v>1</v>
      </c>
      <c r="F40" s="4">
        <f>Bilanca!G47</f>
        <v>39</v>
      </c>
      <c r="G40" s="4">
        <f>IF(Bilanca!H47=0,"",Bilanca!H47)</f>
      </c>
      <c r="H40" s="26">
        <f t="shared" si="0"/>
        <v>2634768.24</v>
      </c>
      <c r="I40" s="27">
        <f t="shared" si="1"/>
        <v>0</v>
      </c>
      <c r="J40" s="27">
        <f>Bilanca!I47</f>
        <v>2125106</v>
      </c>
      <c r="K40" s="27">
        <f>Bilanca!J47</f>
        <v>2315355</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martina.vozdecki@viozz.hr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Tomislav Masten, dipl.polit.</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45819683.22</v>
      </c>
      <c r="I47" s="27">
        <f t="shared" si="3"/>
        <v>0</v>
      </c>
      <c r="J47" s="27">
        <f>Bilanca!I54</f>
        <v>30313843</v>
      </c>
      <c r="K47" s="27">
        <f>Bilanca!J54</f>
        <v>34647082</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DA</v>
      </c>
      <c r="D50" s="4" t="s">
        <v>554</v>
      </c>
      <c r="E50" s="4">
        <v>1</v>
      </c>
      <c r="F50" s="4">
        <f>Bilanca!G57</f>
        <v>49</v>
      </c>
      <c r="G50" s="4">
        <f>IF(Bilanca!H57=0,"",Bilanca!H57)</f>
      </c>
      <c r="H50" s="26">
        <f t="shared" si="2"/>
        <v>13373965.43</v>
      </c>
      <c r="I50" s="27">
        <f t="shared" si="3"/>
        <v>0</v>
      </c>
      <c r="J50" s="27">
        <f>Bilanca!I57</f>
        <v>9350779</v>
      </c>
      <c r="K50" s="27">
        <f>Bilanca!J57</f>
        <v>8971514</v>
      </c>
    </row>
    <row r="51" spans="1:11" ht="12.75">
      <c r="A51" s="4" t="s">
        <v>1035</v>
      </c>
      <c r="B51" s="25" t="str">
        <f>RefStr!I60</f>
        <v>DA</v>
      </c>
      <c r="D51" s="4" t="s">
        <v>554</v>
      </c>
      <c r="E51" s="4">
        <v>1</v>
      </c>
      <c r="F51" s="4">
        <f>Bilanca!G58</f>
        <v>50</v>
      </c>
      <c r="G51" s="4">
        <f>IF(Bilanca!H58=0,"",Bilanca!H58)</f>
      </c>
      <c r="H51" s="26">
        <f t="shared" si="2"/>
        <v>343</v>
      </c>
      <c r="I51" s="27">
        <f t="shared" si="3"/>
        <v>0</v>
      </c>
      <c r="J51" s="27">
        <f>Bilanca!I58</f>
        <v>276</v>
      </c>
      <c r="K51" s="27">
        <f>Bilanca!J58</f>
        <v>205</v>
      </c>
    </row>
    <row r="52" spans="1:11" ht="12.75">
      <c r="A52" s="4" t="s">
        <v>1614</v>
      </c>
      <c r="B52" s="25" t="s">
        <v>1237</v>
      </c>
      <c r="D52" s="4" t="s">
        <v>554</v>
      </c>
      <c r="E52" s="4">
        <v>1</v>
      </c>
      <c r="F52" s="4">
        <f>Bilanca!G59</f>
        <v>51</v>
      </c>
      <c r="G52" s="4">
        <f>IF(Bilanca!H59=0,"",Bilanca!H59)</f>
      </c>
      <c r="H52" s="26">
        <f t="shared" si="2"/>
        <v>754796.94</v>
      </c>
      <c r="I52" s="27">
        <f t="shared" si="3"/>
        <v>0</v>
      </c>
      <c r="J52" s="27">
        <f>Bilanca!I59</f>
        <v>232572</v>
      </c>
      <c r="K52" s="27">
        <f>Bilanca!J59</f>
        <v>623711</v>
      </c>
    </row>
    <row r="53" spans="1:11" ht="12.75">
      <c r="A53" s="4" t="s">
        <v>1301</v>
      </c>
      <c r="B53" s="25" t="str">
        <f>RefStr!I56</f>
        <v>DA</v>
      </c>
      <c r="D53" s="4" t="s">
        <v>554</v>
      </c>
      <c r="E53" s="4">
        <v>1</v>
      </c>
      <c r="F53" s="4">
        <f>Bilanca!G60</f>
        <v>52</v>
      </c>
      <c r="G53" s="4">
        <f>IF(Bilanca!H60=0,"",Bilanca!H60)</f>
      </c>
      <c r="H53" s="26">
        <f t="shared" si="2"/>
        <v>36833430.4</v>
      </c>
      <c r="I53" s="27">
        <f t="shared" si="3"/>
        <v>0</v>
      </c>
      <c r="J53" s="27">
        <f>Bilanca!I60</f>
        <v>20730216</v>
      </c>
      <c r="K53" s="27">
        <f>Bilanca!J60</f>
        <v>25051652</v>
      </c>
    </row>
    <row r="54" spans="1:11" ht="12.75">
      <c r="A54" s="4" t="s">
        <v>1302</v>
      </c>
      <c r="B54" s="25" t="str">
        <f>RefStr!I62</f>
        <v>DA</v>
      </c>
      <c r="D54" s="4" t="s">
        <v>554</v>
      </c>
      <c r="E54" s="4">
        <v>1</v>
      </c>
      <c r="F54" s="4">
        <f>Bilanca!G61</f>
        <v>53</v>
      </c>
      <c r="G54" s="4">
        <f>IF(Bilanca!H61=0,"",Bilanca!H61)</f>
      </c>
      <c r="H54" s="26">
        <f t="shared" si="2"/>
        <v>903487.82</v>
      </c>
      <c r="I54" s="27">
        <f t="shared" si="3"/>
        <v>0</v>
      </c>
      <c r="J54" s="27">
        <f>Bilanca!I61</f>
        <v>778412</v>
      </c>
      <c r="K54" s="27">
        <f>Bilanca!J61</f>
        <v>463141</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17201054245.489998</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1039863.3400000001</v>
      </c>
      <c r="I62" s="27">
        <f t="shared" si="3"/>
        <v>0</v>
      </c>
      <c r="J62" s="27">
        <f>Bilanca!I69</f>
        <v>778412</v>
      </c>
      <c r="K62" s="27">
        <f>Bilanca!J69</f>
        <v>463141</v>
      </c>
    </row>
    <row r="63" spans="1:11" ht="12.75">
      <c r="A63" s="4" t="s">
        <v>614</v>
      </c>
      <c r="B63" s="25" t="str">
        <f>IF(ISNUMBER(VALUE(RefStr!L21)),TEXT(INT(VALUE(RefStr!L21)),"00000000000"),"")</f>
        <v>10858279999</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62086397.94</v>
      </c>
      <c r="I64" s="27">
        <f t="shared" si="3"/>
        <v>0</v>
      </c>
      <c r="J64" s="27">
        <f>Bilanca!I71</f>
        <v>39461078</v>
      </c>
      <c r="K64" s="27">
        <f>Bilanca!J71</f>
        <v>29544380</v>
      </c>
    </row>
    <row r="65" spans="1:11" ht="12.75">
      <c r="A65" s="4" t="s">
        <v>923</v>
      </c>
      <c r="B65" s="25" t="str">
        <f>TRIM(RefStr!N19)</f>
        <v>HSFI</v>
      </c>
      <c r="D65" s="4" t="s">
        <v>554</v>
      </c>
      <c r="E65" s="4">
        <v>1</v>
      </c>
      <c r="F65" s="4">
        <f>Bilanca!G72</f>
        <v>64</v>
      </c>
      <c r="G65" s="4">
        <f>IF(Bilanca!H72=0,"",Bilanca!H72)</f>
      </c>
      <c r="H65" s="26">
        <f t="shared" si="2"/>
        <v>358034.56</v>
      </c>
      <c r="I65" s="27">
        <f t="shared" si="3"/>
        <v>0</v>
      </c>
      <c r="J65" s="27">
        <f>Bilanca!I72</f>
        <v>196773</v>
      </c>
      <c r="K65" s="27">
        <f>Bilanca!J72</f>
        <v>181328</v>
      </c>
    </row>
    <row r="66" spans="1:11" ht="12.75">
      <c r="A66" s="4" t="s">
        <v>924</v>
      </c>
      <c r="B66" s="25">
        <f>RefStr!C23</f>
        <v>1</v>
      </c>
      <c r="D66" s="4" t="s">
        <v>554</v>
      </c>
      <c r="E66" s="4">
        <v>1</v>
      </c>
      <c r="F66" s="4">
        <f>Bilanca!G73</f>
        <v>65</v>
      </c>
      <c r="G66" s="4">
        <f>IF(Bilanca!H73=0,"",Bilanca!H73)</f>
      </c>
      <c r="H66" s="26">
        <f t="shared" si="2"/>
        <v>2578901696.1499996</v>
      </c>
      <c r="I66" s="27">
        <f t="shared" si="3"/>
        <v>0</v>
      </c>
      <c r="J66" s="27">
        <f>Bilanca!I73</f>
        <v>1193633537</v>
      </c>
      <c r="K66" s="27">
        <f>Bilanca!J73</f>
        <v>1386953767</v>
      </c>
    </row>
    <row r="67" spans="1:11" ht="12.75">
      <c r="A67" s="4" t="s">
        <v>925</v>
      </c>
      <c r="B67" s="25" t="str">
        <f>TRIM(RefStr!L35)</f>
        <v>013492107</v>
      </c>
      <c r="D67" s="4" t="s">
        <v>554</v>
      </c>
      <c r="E67" s="4">
        <v>1</v>
      </c>
      <c r="F67" s="4">
        <f>Bilanca!G74</f>
        <v>66</v>
      </c>
      <c r="G67" s="4">
        <f>IF(Bilanca!H74=0,"",Bilanca!H74)</f>
      </c>
      <c r="H67" s="26">
        <f t="shared" si="2"/>
        <v>11482948.620000001</v>
      </c>
      <c r="I67" s="27">
        <f t="shared" si="3"/>
        <v>0</v>
      </c>
      <c r="J67" s="27">
        <f>Bilanca!I74</f>
        <v>5799469</v>
      </c>
      <c r="K67" s="27">
        <f>Bilanca!J74</f>
        <v>5799469</v>
      </c>
    </row>
    <row r="68" spans="1:11" ht="12.75">
      <c r="A68" s="4" t="s">
        <v>926</v>
      </c>
      <c r="B68" s="25">
        <f>RefStr!C44</f>
        <v>1</v>
      </c>
      <c r="D68" s="4" t="s">
        <v>554</v>
      </c>
      <c r="E68" s="4">
        <v>1</v>
      </c>
      <c r="F68" s="4">
        <f>Bilanca!G76</f>
        <v>67</v>
      </c>
      <c r="G68" s="4">
        <f>IF(Bilanca!H76=0,"",Bilanca!H76)</f>
      </c>
      <c r="H68" s="26">
        <f t="shared" si="2"/>
        <v>178187780.37</v>
      </c>
      <c r="I68" s="27">
        <f t="shared" si="3"/>
        <v>0</v>
      </c>
      <c r="J68" s="27">
        <f>Bilanca!I76</f>
        <v>88337109</v>
      </c>
      <c r="K68" s="27">
        <f>Bilanca!J76</f>
        <v>88807401</v>
      </c>
    </row>
    <row r="69" spans="1:11" ht="12.75">
      <c r="A69" s="4" t="s">
        <v>927</v>
      </c>
      <c r="B69" s="25">
        <f>TRIM(RefStr!M46)</f>
      </c>
      <c r="D69" s="4" t="s">
        <v>554</v>
      </c>
      <c r="E69" s="4">
        <v>1</v>
      </c>
      <c r="F69" s="4">
        <f>Bilanca!G77</f>
        <v>68</v>
      </c>
      <c r="G69" s="4">
        <f>IF(Bilanca!H77=0,"",Bilanca!H77)</f>
      </c>
      <c r="H69" s="26">
        <f t="shared" si="2"/>
        <v>2040000</v>
      </c>
      <c r="I69" s="27">
        <f t="shared" si="3"/>
        <v>0</v>
      </c>
      <c r="J69" s="27">
        <f>Bilanca!I77</f>
        <v>1000000</v>
      </c>
      <c r="K69" s="27">
        <f>Bilanca!J77</f>
        <v>1000000</v>
      </c>
    </row>
    <row r="70" spans="1:11" ht="12.75">
      <c r="A70" s="4" t="s">
        <v>928</v>
      </c>
      <c r="B70" s="25">
        <f>RefStr!C46</f>
        <v>0</v>
      </c>
      <c r="D70" s="4" t="s">
        <v>554</v>
      </c>
      <c r="E70" s="4">
        <v>1</v>
      </c>
      <c r="F70" s="4">
        <f>Bilanca!G78</f>
        <v>69</v>
      </c>
      <c r="G70" s="4">
        <f>IF(Bilanca!H78=0,"",Bilanca!H78)</f>
      </c>
      <c r="H70" s="26">
        <f t="shared" si="2"/>
        <v>217637057.25</v>
      </c>
      <c r="I70" s="27">
        <f t="shared" si="3"/>
        <v>0</v>
      </c>
      <c r="J70" s="27">
        <f>Bilanca!I78</f>
        <v>105138675</v>
      </c>
      <c r="K70" s="27">
        <f>Bilanca!J78</f>
        <v>105138675</v>
      </c>
    </row>
    <row r="71" spans="4:11" ht="12.75">
      <c r="D71" s="4" t="s">
        <v>554</v>
      </c>
      <c r="E71" s="4">
        <v>1</v>
      </c>
      <c r="F71" s="4">
        <f>Bilanca!G79</f>
        <v>70</v>
      </c>
      <c r="G71" s="4">
        <f>IF(Bilanca!H79=0,"",Bilanca!H79)</f>
      </c>
      <c r="H71" s="26">
        <f t="shared" si="2"/>
        <v>16.8</v>
      </c>
      <c r="I71" s="27">
        <f t="shared" si="3"/>
        <v>0</v>
      </c>
      <c r="J71" s="27">
        <f>Bilanca!I79</f>
        <v>8</v>
      </c>
      <c r="K71" s="27">
        <f>Bilanca!J79</f>
        <v>8</v>
      </c>
    </row>
    <row r="72" spans="4:11" ht="12.75">
      <c r="D72" s="4" t="s">
        <v>554</v>
      </c>
      <c r="E72" s="4">
        <v>1</v>
      </c>
      <c r="F72" s="4">
        <f>Bilanca!G80</f>
        <v>71</v>
      </c>
      <c r="G72" s="4">
        <f>IF(Bilanca!H80=0,"",Bilanca!H80)</f>
      </c>
      <c r="H72" s="26">
        <f t="shared" si="2"/>
        <v>17.04</v>
      </c>
      <c r="I72" s="27">
        <f t="shared" si="3"/>
        <v>0</v>
      </c>
      <c r="J72" s="27">
        <f>Bilanca!I80</f>
        <v>8</v>
      </c>
      <c r="K72" s="27">
        <f>Bilanca!J80</f>
        <v>8</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-44755323.08</v>
      </c>
      <c r="I84" s="27">
        <f t="shared" si="3"/>
        <v>0</v>
      </c>
      <c r="J84" s="27">
        <f>Bilanca!I92</f>
        <v>-18318928</v>
      </c>
      <c r="K84" s="27">
        <f>Bilanca!J92</f>
        <v>-17801574</v>
      </c>
    </row>
    <row r="85" spans="4:11" ht="12.75">
      <c r="D85" s="4" t="s">
        <v>554</v>
      </c>
      <c r="E85" s="4">
        <v>1</v>
      </c>
      <c r="F85" s="4">
        <f>Bilanca!G93</f>
        <v>84</v>
      </c>
      <c r="G85" s="4">
        <f>IF(Bilanca!H93=0,"",Bilanca!H93)</f>
      </c>
      <c r="H85" s="26">
        <f t="shared" si="2"/>
        <v>9161066.879999999</v>
      </c>
      <c r="I85" s="27">
        <f t="shared" si="3"/>
        <v>0</v>
      </c>
      <c r="J85" s="27">
        <f>Bilanca!I93</f>
        <v>3635344</v>
      </c>
      <c r="K85" s="27">
        <f>Bilanca!J93</f>
        <v>3635344</v>
      </c>
    </row>
    <row r="86" spans="4:11" ht="12.75">
      <c r="D86" s="4" t="s">
        <v>554</v>
      </c>
      <c r="E86" s="4">
        <v>1</v>
      </c>
      <c r="F86" s="4">
        <f>Bilanca!G94</f>
        <v>85</v>
      </c>
      <c r="G86" s="4">
        <f>IF(Bilanca!H94=0,"",Bilanca!H94)</f>
      </c>
      <c r="H86" s="26">
        <f t="shared" si="2"/>
        <v>55103891.8</v>
      </c>
      <c r="I86" s="27">
        <f t="shared" si="3"/>
        <v>0</v>
      </c>
      <c r="J86" s="27">
        <f>Bilanca!I94</f>
        <v>21954272</v>
      </c>
      <c r="K86" s="27">
        <f>Bilanca!J94</f>
        <v>21436918</v>
      </c>
    </row>
    <row r="87" spans="4:11" ht="12.75">
      <c r="D87" s="4" t="s">
        <v>554</v>
      </c>
      <c r="E87" s="4">
        <v>1</v>
      </c>
      <c r="F87" s="4">
        <f>Bilanca!G95</f>
        <v>86</v>
      </c>
      <c r="G87" s="4">
        <f>IF(Bilanca!H95=0,"",Bilanca!H95)</f>
      </c>
      <c r="H87" s="26">
        <f>J87/100*F87+2*K87/100*F87</f>
        <v>1253826.68</v>
      </c>
      <c r="I87" s="27">
        <f>ABS(ROUND(J87,0)-J87)+ABS(ROUND(K87,0)-K87)</f>
        <v>0</v>
      </c>
      <c r="J87" s="27">
        <f>Bilanca!I95</f>
        <v>517354</v>
      </c>
      <c r="K87" s="27">
        <f>Bilanca!J95</f>
        <v>470292</v>
      </c>
    </row>
    <row r="88" spans="4:11" ht="12.75">
      <c r="D88" s="4" t="s">
        <v>554</v>
      </c>
      <c r="E88" s="4">
        <v>1</v>
      </c>
      <c r="F88" s="4">
        <f>Bilanca!G96</f>
        <v>87</v>
      </c>
      <c r="G88" s="4">
        <f>IF(Bilanca!H96=0,"",Bilanca!H96)</f>
      </c>
      <c r="H88" s="26">
        <f>J88/100*F88+2*K88/100*F88</f>
        <v>1268406.06</v>
      </c>
      <c r="I88" s="27">
        <f>ABS(ROUND(J88,0)-J88)+ABS(ROUND(K88,0)-K88)</f>
        <v>0</v>
      </c>
      <c r="J88" s="27">
        <f>Bilanca!I96</f>
        <v>517354</v>
      </c>
      <c r="K88" s="27">
        <f>Bilanca!J96</f>
        <v>470292</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2242115.0999999996</v>
      </c>
      <c r="I91" s="27">
        <f t="shared" si="5"/>
        <v>0</v>
      </c>
      <c r="J91" s="27">
        <f>Bilanca!I99</f>
        <v>830413</v>
      </c>
      <c r="K91" s="27">
        <f>Bilanca!J99</f>
        <v>830413</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2316852.27</v>
      </c>
      <c r="I94" s="27">
        <f t="shared" si="5"/>
        <v>0</v>
      </c>
      <c r="J94" s="27">
        <f>Bilanca!I102</f>
        <v>830413</v>
      </c>
      <c r="K94" s="27">
        <f>Bilanca!J102</f>
        <v>830413</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99476064.67999999</v>
      </c>
      <c r="I98" s="27">
        <f t="shared" si="5"/>
        <v>0</v>
      </c>
      <c r="J98" s="27">
        <f>Bilanca!I106</f>
        <v>33496996</v>
      </c>
      <c r="K98" s="27">
        <f>Bilanca!J106</f>
        <v>34527824</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104149113.32</v>
      </c>
      <c r="I104" s="27">
        <f t="shared" si="5"/>
        <v>0</v>
      </c>
      <c r="J104" s="27">
        <f>Bilanca!I112</f>
        <v>33017996</v>
      </c>
      <c r="K104" s="27">
        <f>Bilanca!J112</f>
        <v>34048824</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1508850</v>
      </c>
      <c r="I106" s="27">
        <f t="shared" si="5"/>
        <v>0</v>
      </c>
      <c r="J106" s="27">
        <f>Bilanca!I114</f>
        <v>479000</v>
      </c>
      <c r="K106" s="27">
        <f>Bilanca!J114</f>
        <v>479000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402374563.84</v>
      </c>
      <c r="I110" s="27">
        <f t="shared" si="5"/>
        <v>0</v>
      </c>
      <c r="J110" s="27">
        <f>Bilanca!I118</f>
        <v>120543192</v>
      </c>
      <c r="K110" s="27">
        <f>Bilanca!J118</f>
        <v>124303892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22122759.3</v>
      </c>
      <c r="I116" s="27">
        <f t="shared" si="5"/>
        <v>0</v>
      </c>
      <c r="J116" s="27">
        <f>Bilanca!I124</f>
        <v>5778848</v>
      </c>
      <c r="K116" s="27">
        <f>Bilanca!J124</f>
        <v>6729167</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333470358</v>
      </c>
      <c r="I118" s="27">
        <f t="shared" si="5"/>
        <v>0</v>
      </c>
      <c r="J118" s="27">
        <f>Bilanca!I126</f>
        <v>91315470</v>
      </c>
      <c r="K118" s="27">
        <f>Bilanca!J126</f>
        <v>96850965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3186009.61</v>
      </c>
      <c r="I120" s="27">
        <f t="shared" si="5"/>
        <v>0</v>
      </c>
      <c r="J120" s="27">
        <f>Bilanca!I128</f>
        <v>848435</v>
      </c>
      <c r="K120" s="27">
        <f>Bilanca!J128</f>
        <v>914442</v>
      </c>
    </row>
    <row r="121" spans="4:11" ht="12.75">
      <c r="D121" s="4" t="s">
        <v>554</v>
      </c>
      <c r="E121" s="4">
        <v>1</v>
      </c>
      <c r="F121" s="4">
        <f>Bilanca!G129</f>
        <v>120</v>
      </c>
      <c r="G121" s="4">
        <f>IF(Bilanca!H129=0,"",Bilanca!H129)</f>
      </c>
      <c r="H121" s="26">
        <f t="shared" si="4"/>
        <v>1652498.4</v>
      </c>
      <c r="I121" s="27">
        <f t="shared" si="5"/>
        <v>0</v>
      </c>
      <c r="J121" s="27">
        <f>Bilanca!I129</f>
        <v>474758</v>
      </c>
      <c r="K121" s="27">
        <f>Bilanca!J129</f>
        <v>451162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74835651.39</v>
      </c>
      <c r="I124" s="27">
        <f t="shared" si="5"/>
        <v>0</v>
      </c>
      <c r="J124" s="27">
        <f>Bilanca!I132</f>
        <v>22125681</v>
      </c>
      <c r="K124" s="27">
        <f>Bilanca!J132</f>
        <v>19358156</v>
      </c>
    </row>
    <row r="125" spans="4:11" ht="12.75">
      <c r="D125" s="4" t="s">
        <v>554</v>
      </c>
      <c r="E125" s="4">
        <v>1</v>
      </c>
      <c r="F125" s="4">
        <f>Bilanca!G133</f>
        <v>124</v>
      </c>
      <c r="G125" s="4">
        <f>IF(Bilanca!H133=0,"",Bilanca!H133)</f>
      </c>
      <c r="H125" s="26">
        <f t="shared" si="4"/>
        <v>4001968933.24</v>
      </c>
      <c r="I125" s="27">
        <f t="shared" si="5"/>
        <v>0</v>
      </c>
      <c r="J125" s="27">
        <f>Bilanca!I133</f>
        <v>950425827</v>
      </c>
      <c r="K125" s="27">
        <f>Bilanca!J133</f>
        <v>1138484237</v>
      </c>
    </row>
    <row r="126" spans="4:11" ht="12.75">
      <c r="D126" s="4" t="s">
        <v>554</v>
      </c>
      <c r="E126" s="4">
        <v>1</v>
      </c>
      <c r="F126" s="4">
        <f>Bilanca!G134</f>
        <v>125</v>
      </c>
      <c r="G126" s="4">
        <f>IF(Bilanca!H134=0,"",Bilanca!H134)</f>
      </c>
      <c r="H126" s="26">
        <f t="shared" si="4"/>
        <v>4959426338.75</v>
      </c>
      <c r="I126" s="27">
        <f t="shared" si="5"/>
        <v>0</v>
      </c>
      <c r="J126" s="27">
        <f>Bilanca!I134</f>
        <v>1193633537</v>
      </c>
      <c r="K126" s="27">
        <f>Bilanca!J134</f>
        <v>1386953767</v>
      </c>
    </row>
    <row r="127" spans="4:11" ht="12.75">
      <c r="D127" s="4" t="s">
        <v>554</v>
      </c>
      <c r="E127" s="4">
        <v>1</v>
      </c>
      <c r="F127" s="4">
        <f>Bilanca!G135</f>
        <v>126</v>
      </c>
      <c r="G127" s="4">
        <f>IF(Bilanca!H135=0,"",Bilanca!H135)</f>
      </c>
      <c r="H127" s="26">
        <f t="shared" si="4"/>
        <v>21921992.82</v>
      </c>
      <c r="I127" s="27">
        <f t="shared" si="5"/>
        <v>0</v>
      </c>
      <c r="J127" s="27">
        <f>Bilanca!I135</f>
        <v>5799469</v>
      </c>
      <c r="K127" s="27">
        <f>Bilanca!J135</f>
        <v>5799469</v>
      </c>
    </row>
    <row r="128" spans="4:11" ht="12.75">
      <c r="D128" s="4" t="s">
        <v>794</v>
      </c>
      <c r="E128" s="4">
        <v>2</v>
      </c>
      <c r="F128" s="4">
        <f>RDG!G8</f>
        <v>127</v>
      </c>
      <c r="G128" s="4">
        <f>IF(RDG!H8=0,"",RDG!H8)</f>
      </c>
      <c r="H128" s="26">
        <f t="shared" si="4"/>
        <v>233605541.17000002</v>
      </c>
      <c r="I128" s="4">
        <f t="shared" si="5"/>
        <v>0</v>
      </c>
      <c r="J128" s="27">
        <f>RDG!I8</f>
        <v>60041659</v>
      </c>
      <c r="K128" s="27">
        <f>RDG!J8</f>
        <v>61949856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159321808.62</v>
      </c>
      <c r="I130" s="4">
        <f aca="true" t="shared" si="7" ref="I130:I192">ABS(ROUND(J130,0)-J130)+ABS(ROUND(K130,0)-K130)</f>
        <v>0</v>
      </c>
      <c r="J130" s="27">
        <f>RDG!I10</f>
        <v>40467646</v>
      </c>
      <c r="K130" s="27">
        <f>RDG!J10</f>
        <v>41518816</v>
      </c>
    </row>
    <row r="131" spans="4:11" ht="12.75">
      <c r="D131" s="4" t="s">
        <v>794</v>
      </c>
      <c r="E131" s="4">
        <v>2</v>
      </c>
      <c r="F131" s="4">
        <f>RDG!G11</f>
        <v>130</v>
      </c>
      <c r="G131" s="4">
        <f>IF(RDG!H11=0,"",RDG!H11)</f>
      </c>
      <c r="H131" s="26">
        <f t="shared" si="6"/>
        <v>4936218.3</v>
      </c>
      <c r="I131" s="4">
        <f t="shared" si="7"/>
        <v>0</v>
      </c>
      <c r="J131" s="27">
        <f>RDG!I11</f>
        <v>1151141</v>
      </c>
      <c r="K131" s="27">
        <f>RDG!J11</f>
        <v>1322975</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74763482.64</v>
      </c>
      <c r="I133" s="4">
        <f t="shared" si="7"/>
        <v>0</v>
      </c>
      <c r="J133" s="27">
        <f>RDG!I13</f>
        <v>18422872</v>
      </c>
      <c r="K133" s="27">
        <f>RDG!J13</f>
        <v>19108065</v>
      </c>
    </row>
    <row r="134" spans="4:11" ht="12.75">
      <c r="D134" s="4" t="s">
        <v>794</v>
      </c>
      <c r="E134" s="4">
        <v>2</v>
      </c>
      <c r="F134" s="4">
        <f>RDG!G14</f>
        <v>133</v>
      </c>
      <c r="G134" s="4">
        <f>IF(RDG!H14=0,"",RDG!H14)</f>
      </c>
      <c r="H134" s="26">
        <f t="shared" si="6"/>
        <v>239933592.01000002</v>
      </c>
      <c r="I134" s="4">
        <f t="shared" si="7"/>
        <v>0</v>
      </c>
      <c r="J134" s="27">
        <f>RDG!I14</f>
        <v>59035611</v>
      </c>
      <c r="K134" s="27">
        <f>RDG!J14</f>
        <v>60682793</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89605522.35</v>
      </c>
      <c r="I136" s="4">
        <f t="shared" si="7"/>
        <v>0</v>
      </c>
      <c r="J136" s="27">
        <f>RDG!I16</f>
        <v>20668381</v>
      </c>
      <c r="K136" s="27">
        <f>RDG!J16</f>
        <v>22853040</v>
      </c>
    </row>
    <row r="137" spans="4:11" ht="12.75">
      <c r="D137" s="4" t="s">
        <v>794</v>
      </c>
      <c r="E137" s="4">
        <v>2</v>
      </c>
      <c r="F137" s="4">
        <f>RDG!G17</f>
        <v>136</v>
      </c>
      <c r="G137" s="4">
        <f>IF(RDG!H17=0,"",RDG!H17)</f>
      </c>
      <c r="H137" s="26">
        <f t="shared" si="6"/>
        <v>27333919.2</v>
      </c>
      <c r="I137" s="4">
        <f t="shared" si="7"/>
        <v>0</v>
      </c>
      <c r="J137" s="27">
        <f>RDG!I17</f>
        <v>5305530</v>
      </c>
      <c r="K137" s="27">
        <f>RDG!J17</f>
        <v>7396470</v>
      </c>
    </row>
    <row r="138" spans="4:11" ht="12.75">
      <c r="D138" s="4" t="s">
        <v>794</v>
      </c>
      <c r="E138" s="4">
        <v>2</v>
      </c>
      <c r="F138" s="4">
        <f>RDG!G18</f>
        <v>137</v>
      </c>
      <c r="G138" s="4">
        <f>IF(RDG!H18=0,"",RDG!H18)</f>
      </c>
      <c r="H138" s="26">
        <f t="shared" si="6"/>
        <v>34616814.760000005</v>
      </c>
      <c r="I138" s="4">
        <f t="shared" si="7"/>
        <v>0</v>
      </c>
      <c r="J138" s="27">
        <f>RDG!I18</f>
        <v>8110182</v>
      </c>
      <c r="K138" s="27">
        <f>RDG!J18</f>
        <v>8578783</v>
      </c>
    </row>
    <row r="139" spans="4:11" ht="12.75">
      <c r="D139" s="4" t="s">
        <v>794</v>
      </c>
      <c r="E139" s="4">
        <v>2</v>
      </c>
      <c r="F139" s="4">
        <f>RDG!G19</f>
        <v>138</v>
      </c>
      <c r="G139" s="4">
        <f>IF(RDG!H19=0,"",RDG!H19)</f>
      </c>
      <c r="H139" s="26">
        <f t="shared" si="6"/>
        <v>28991375.339999996</v>
      </c>
      <c r="I139" s="4">
        <f t="shared" si="7"/>
        <v>0</v>
      </c>
      <c r="J139" s="27">
        <f>RDG!I19</f>
        <v>7252669</v>
      </c>
      <c r="K139" s="27">
        <f>RDG!J19</f>
        <v>6877787</v>
      </c>
    </row>
    <row r="140" spans="4:11" ht="12.75">
      <c r="D140" s="4" t="s">
        <v>794</v>
      </c>
      <c r="E140" s="4">
        <v>2</v>
      </c>
      <c r="F140" s="4">
        <f>RDG!G20</f>
        <v>139</v>
      </c>
      <c r="G140" s="4">
        <f>IF(RDG!H20=0,"",RDG!H20)</f>
      </c>
      <c r="H140" s="26">
        <f t="shared" si="6"/>
        <v>61718964.87</v>
      </c>
      <c r="I140" s="4">
        <f t="shared" si="7"/>
        <v>0</v>
      </c>
      <c r="J140" s="27">
        <f>RDG!I20</f>
        <v>15002311</v>
      </c>
      <c r="K140" s="27">
        <f>RDG!J20</f>
        <v>14699911</v>
      </c>
    </row>
    <row r="141" spans="4:11" ht="12.75">
      <c r="D141" s="4" t="s">
        <v>794</v>
      </c>
      <c r="E141" s="4">
        <v>2</v>
      </c>
      <c r="F141" s="4">
        <f>RDG!G21</f>
        <v>140</v>
      </c>
      <c r="G141" s="4">
        <f>IF(RDG!H21=0,"",RDG!H21)</f>
      </c>
      <c r="H141" s="26">
        <f t="shared" si="6"/>
        <v>39534741.400000006</v>
      </c>
      <c r="I141" s="4">
        <f t="shared" si="7"/>
        <v>0</v>
      </c>
      <c r="J141" s="27">
        <f>RDG!I21</f>
        <v>9569335</v>
      </c>
      <c r="K141" s="27">
        <f>RDG!J21</f>
        <v>9334883</v>
      </c>
    </row>
    <row r="142" spans="4:11" ht="12.75">
      <c r="D142" s="4" t="s">
        <v>794</v>
      </c>
      <c r="E142" s="4">
        <v>2</v>
      </c>
      <c r="F142" s="4">
        <f>RDG!G22</f>
        <v>141</v>
      </c>
      <c r="G142" s="4">
        <f>IF(RDG!H22=0,"",RDG!H22)</f>
      </c>
      <c r="H142" s="26">
        <f t="shared" si="6"/>
        <v>14214177.57</v>
      </c>
      <c r="I142" s="4">
        <f t="shared" si="7"/>
        <v>0</v>
      </c>
      <c r="J142" s="27">
        <f>RDG!I22</f>
        <v>3377439</v>
      </c>
      <c r="K142" s="27">
        <f>RDG!J22</f>
        <v>3351769</v>
      </c>
    </row>
    <row r="143" spans="4:11" ht="12.75">
      <c r="D143" s="4" t="s">
        <v>794</v>
      </c>
      <c r="E143" s="4">
        <v>2</v>
      </c>
      <c r="F143" s="4">
        <f>RDG!G23</f>
        <v>142</v>
      </c>
      <c r="G143" s="4">
        <f>IF(RDG!H23=0,"",RDG!H23)</f>
      </c>
      <c r="H143" s="26">
        <f t="shared" si="6"/>
        <v>8636518.1</v>
      </c>
      <c r="I143" s="4">
        <f t="shared" si="7"/>
        <v>0</v>
      </c>
      <c r="J143" s="27">
        <f>RDG!I23</f>
        <v>2055537</v>
      </c>
      <c r="K143" s="27">
        <f>RDG!J23</f>
        <v>2013259</v>
      </c>
    </row>
    <row r="144" spans="4:11" ht="12.75">
      <c r="D144" s="4" t="s">
        <v>794</v>
      </c>
      <c r="E144" s="4">
        <v>2</v>
      </c>
      <c r="F144" s="4">
        <f>RDG!G24</f>
        <v>143</v>
      </c>
      <c r="G144" s="4">
        <f>IF(RDG!H24=0,"",RDG!H24)</f>
      </c>
      <c r="H144" s="26">
        <f t="shared" si="6"/>
        <v>85108004.41</v>
      </c>
      <c r="I144" s="4">
        <f t="shared" si="7"/>
        <v>0</v>
      </c>
      <c r="J144" s="27">
        <f>RDG!I24</f>
        <v>19575357</v>
      </c>
      <c r="K144" s="27">
        <f>RDG!J24</f>
        <v>19970365</v>
      </c>
    </row>
    <row r="145" spans="4:11" ht="12.75">
      <c r="D145" s="4" t="s">
        <v>794</v>
      </c>
      <c r="E145" s="4">
        <v>2</v>
      </c>
      <c r="F145" s="4">
        <f>RDG!G25</f>
        <v>144</v>
      </c>
      <c r="G145" s="4">
        <f>IF(RDG!H25=0,"",RDG!H25)</f>
      </c>
      <c r="H145" s="26">
        <f t="shared" si="6"/>
        <v>10885821.120000001</v>
      </c>
      <c r="I145" s="4">
        <f t="shared" si="7"/>
        <v>0</v>
      </c>
      <c r="J145" s="27">
        <f>RDG!I25</f>
        <v>2262884</v>
      </c>
      <c r="K145" s="27">
        <f>RDG!J25</f>
        <v>2648357</v>
      </c>
    </row>
    <row r="146" spans="4:11" ht="12.75">
      <c r="D146" s="4" t="s">
        <v>794</v>
      </c>
      <c r="E146" s="4">
        <v>2</v>
      </c>
      <c r="F146" s="4">
        <f>RDG!G26</f>
        <v>145</v>
      </c>
      <c r="G146" s="4">
        <f>IF(RDG!H26=0,"",RDG!H26)</f>
      </c>
      <c r="H146" s="26">
        <f t="shared" si="6"/>
        <v>1580798.7</v>
      </c>
      <c r="I146" s="4">
        <f t="shared" si="7"/>
        <v>0</v>
      </c>
      <c r="J146" s="27">
        <f>RDG!I26</f>
        <v>445190</v>
      </c>
      <c r="K146" s="27">
        <f>RDG!J26</f>
        <v>322508</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1602602.8199999998</v>
      </c>
      <c r="I148" s="4">
        <f t="shared" si="7"/>
        <v>0</v>
      </c>
      <c r="J148" s="27">
        <f>RDG!I28</f>
        <v>445190</v>
      </c>
      <c r="K148" s="27">
        <f>RDG!J28</f>
        <v>322508</v>
      </c>
    </row>
    <row r="149" spans="4:11" ht="12.75">
      <c r="D149" s="4" t="s">
        <v>794</v>
      </c>
      <c r="E149" s="4">
        <v>2</v>
      </c>
      <c r="F149" s="4">
        <f>RDG!G29</f>
        <v>148</v>
      </c>
      <c r="G149" s="4">
        <f>IF(RDG!H29=0,"",RDG!H29)</f>
      </c>
      <c r="H149" s="26">
        <f t="shared" si="6"/>
        <v>238870.52</v>
      </c>
      <c r="I149" s="4">
        <f t="shared" si="7"/>
        <v>0</v>
      </c>
      <c r="J149" s="27">
        <f>RDG!I29</f>
        <v>161399</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243712.49</v>
      </c>
      <c r="I152" s="4">
        <f t="shared" si="7"/>
        <v>0</v>
      </c>
      <c r="J152" s="27">
        <f>RDG!I32</f>
        <v>161399</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2010835.15</v>
      </c>
      <c r="I156" s="4">
        <f t="shared" si="7"/>
        <v>0</v>
      </c>
      <c r="J156" s="27">
        <f>RDG!I36</f>
        <v>920089</v>
      </c>
      <c r="K156" s="27">
        <f>RDG!J36</f>
        <v>188612</v>
      </c>
    </row>
    <row r="157" spans="4:11" ht="12.75">
      <c r="D157" s="4" t="s">
        <v>794</v>
      </c>
      <c r="E157" s="4">
        <v>2</v>
      </c>
      <c r="F157" s="4">
        <f>RDG!G37</f>
        <v>156</v>
      </c>
      <c r="G157" s="4">
        <f>IF(RDG!H37=0,"",RDG!H37)</f>
      </c>
      <c r="H157" s="26">
        <f t="shared" si="6"/>
        <v>658371.48</v>
      </c>
      <c r="I157" s="4">
        <f t="shared" si="7"/>
        <v>0</v>
      </c>
      <c r="J157" s="27">
        <f>RDG!I37</f>
        <v>104827</v>
      </c>
      <c r="K157" s="27">
        <f>RDG!J37</f>
        <v>158603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607952.51</v>
      </c>
      <c r="I164" s="4">
        <f t="shared" si="7"/>
        <v>0</v>
      </c>
      <c r="J164" s="27">
        <f>RDG!I44</f>
        <v>98643</v>
      </c>
      <c r="K164" s="27">
        <f>RDG!J44</f>
        <v>137167</v>
      </c>
    </row>
    <row r="165" spans="4:11" ht="12.75">
      <c r="D165" s="4" t="s">
        <v>794</v>
      </c>
      <c r="E165" s="4">
        <v>2</v>
      </c>
      <c r="F165" s="4">
        <f>RDG!G45</f>
        <v>164</v>
      </c>
      <c r="G165" s="4">
        <f>IF(RDG!H45=0,"",RDG!H45)</f>
      </c>
      <c r="H165" s="26">
        <f t="shared" si="6"/>
        <v>80451.84</v>
      </c>
      <c r="I165" s="4">
        <f t="shared" si="7"/>
        <v>0</v>
      </c>
      <c r="J165" s="27">
        <f>RDG!I45</f>
        <v>6184</v>
      </c>
      <c r="K165" s="27">
        <f>RDG!J45</f>
        <v>21436</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3634153.8</v>
      </c>
      <c r="I168" s="4">
        <f t="shared" si="7"/>
        <v>0</v>
      </c>
      <c r="J168" s="27">
        <f>RDG!I48</f>
        <v>479956</v>
      </c>
      <c r="K168" s="27">
        <f>RDG!J48</f>
        <v>848092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2879167.6</v>
      </c>
      <c r="I171" s="4">
        <f t="shared" si="7"/>
        <v>0</v>
      </c>
      <c r="J171" s="27">
        <f>RDG!I51</f>
        <v>401690</v>
      </c>
      <c r="K171" s="27">
        <f>RDG!J51</f>
        <v>645969</v>
      </c>
    </row>
    <row r="172" spans="4:11" ht="12.75">
      <c r="D172" s="4" t="s">
        <v>794</v>
      </c>
      <c r="E172" s="4">
        <v>2</v>
      </c>
      <c r="F172" s="4">
        <f>RDG!G52</f>
        <v>171</v>
      </c>
      <c r="G172" s="4">
        <f>IF(RDG!H52=0,"",RDG!H52)</f>
      </c>
      <c r="H172" s="26">
        <f t="shared" si="6"/>
        <v>825095.52</v>
      </c>
      <c r="I172" s="4">
        <f t="shared" si="7"/>
        <v>0</v>
      </c>
      <c r="J172" s="27">
        <f>RDG!I52</f>
        <v>78266</v>
      </c>
      <c r="K172" s="27">
        <f>RDG!J52</f>
        <v>202123</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330010493.15999997</v>
      </c>
      <c r="I180" s="4">
        <f t="shared" si="7"/>
        <v>0</v>
      </c>
      <c r="J180" s="27">
        <f>RDG!I60</f>
        <v>60146486</v>
      </c>
      <c r="K180" s="27">
        <f>RDG!J60</f>
        <v>62108459</v>
      </c>
    </row>
    <row r="181" spans="4:11" ht="12.75">
      <c r="D181" s="4" t="s">
        <v>794</v>
      </c>
      <c r="E181" s="4">
        <v>2</v>
      </c>
      <c r="F181" s="4">
        <f>RDG!G61</f>
        <v>180</v>
      </c>
      <c r="G181" s="4">
        <f>IF(RDG!H61=0,"",RDG!H61)</f>
      </c>
      <c r="H181" s="26">
        <f t="shared" si="6"/>
        <v>328639206.6</v>
      </c>
      <c r="I181" s="4">
        <f t="shared" si="7"/>
        <v>0</v>
      </c>
      <c r="J181" s="27">
        <f>RDG!I61</f>
        <v>59515567</v>
      </c>
      <c r="K181" s="27">
        <f>RDG!J61</f>
        <v>61530885</v>
      </c>
    </row>
    <row r="182" spans="4:11" ht="12.75">
      <c r="D182" s="4" t="s">
        <v>794</v>
      </c>
      <c r="E182" s="4">
        <v>2</v>
      </c>
      <c r="F182" s="4">
        <f>RDG!G62</f>
        <v>181</v>
      </c>
      <c r="G182" s="4">
        <f>IF(RDG!H62=0,"",RDG!H62)</f>
      </c>
      <c r="H182" s="26">
        <f t="shared" si="6"/>
        <v>3232781.2699999996</v>
      </c>
      <c r="I182" s="4">
        <f t="shared" si="7"/>
        <v>0</v>
      </c>
      <c r="J182" s="27">
        <f>RDG!I62</f>
        <v>630919</v>
      </c>
      <c r="K182" s="27">
        <f>RDG!J62</f>
        <v>577574</v>
      </c>
    </row>
    <row r="183" spans="4:11" ht="12.75">
      <c r="D183" s="4" t="s">
        <v>794</v>
      </c>
      <c r="E183" s="4">
        <v>2</v>
      </c>
      <c r="F183" s="4">
        <f>RDG!G63</f>
        <v>182</v>
      </c>
      <c r="G183" s="4">
        <f>IF(RDG!H63=0,"",RDG!H63)</f>
      </c>
      <c r="H183" s="26">
        <f t="shared" si="6"/>
        <v>3250641.9399999995</v>
      </c>
      <c r="I183" s="4">
        <f t="shared" si="7"/>
        <v>0</v>
      </c>
      <c r="J183" s="27">
        <f>RDG!I63</f>
        <v>630919</v>
      </c>
      <c r="K183" s="27">
        <f>RDG!J63</f>
        <v>577574</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603757.36</v>
      </c>
      <c r="I185" s="4">
        <f t="shared" si="7"/>
        <v>0</v>
      </c>
      <c r="J185" s="27">
        <f>RDG!I65</f>
        <v>113565</v>
      </c>
      <c r="K185" s="27">
        <f>RDG!J65</f>
        <v>107282</v>
      </c>
    </row>
    <row r="186" spans="4:11" ht="12.75">
      <c r="D186" s="4" t="s">
        <v>794</v>
      </c>
      <c r="E186" s="4">
        <v>2</v>
      </c>
      <c r="F186" s="4">
        <f>RDG!G66</f>
        <v>185</v>
      </c>
      <c r="G186" s="4">
        <f>IF(RDG!H66=0,"",RDG!H66)</f>
      </c>
      <c r="H186" s="26">
        <f t="shared" si="6"/>
        <v>2697185.3000000003</v>
      </c>
      <c r="I186" s="4">
        <f t="shared" si="7"/>
        <v>0</v>
      </c>
      <c r="J186" s="27">
        <f>RDG!I66</f>
        <v>517354</v>
      </c>
      <c r="K186" s="27">
        <f>RDG!J66</f>
        <v>470292</v>
      </c>
    </row>
    <row r="187" spans="4:11" ht="12.75">
      <c r="D187" s="4" t="s">
        <v>794</v>
      </c>
      <c r="E187" s="4">
        <v>2</v>
      </c>
      <c r="F187" s="4">
        <f>RDG!G67</f>
        <v>186</v>
      </c>
      <c r="G187" s="4">
        <f>IF(RDG!H67=0,"",RDG!H67)</f>
      </c>
      <c r="H187" s="26">
        <f t="shared" si="6"/>
        <v>2711764.6799999997</v>
      </c>
      <c r="I187" s="4">
        <f t="shared" si="7"/>
        <v>0</v>
      </c>
      <c r="J187" s="27">
        <f>RDG!I67</f>
        <v>517354</v>
      </c>
      <c r="K187" s="27">
        <f>RDG!J67</f>
        <v>470292</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2086245.8699999999</v>
      </c>
      <c r="I349" s="4">
        <f>ABS(ROUND(J349,0)-J349)+ABS(ROUND(K349,0)-K349)</f>
        <v>0</v>
      </c>
      <c r="J349" s="27">
        <f>NT_D!I9</f>
        <v>67568195</v>
      </c>
      <c r="K349" s="27">
        <f>NT_D!J9</f>
        <v>70528196</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1437.03</v>
      </c>
      <c r="I351" s="4">
        <f aca="true" t="shared" si="23" ref="I351:I392">ABS(ROUND(J351,0)-J351)+ABS(ROUND(K351,0)-K351)</f>
        <v>0</v>
      </c>
      <c r="J351" s="27">
        <f>NT_D!I11</f>
        <v>11307</v>
      </c>
      <c r="K351" s="27">
        <f>NT_D!J11</f>
        <v>18297</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90002.5</v>
      </c>
      <c r="I353" s="4">
        <f t="shared" si="23"/>
        <v>0</v>
      </c>
      <c r="J353" s="27">
        <f>NT_D!I13</f>
        <v>613734</v>
      </c>
      <c r="K353" s="27">
        <f>NT_D!J13</f>
        <v>593158</v>
      </c>
    </row>
    <row r="354" spans="4:11" ht="12.75">
      <c r="D354" s="4" t="s">
        <v>557</v>
      </c>
      <c r="E354" s="4">
        <v>5</v>
      </c>
      <c r="F354" s="28">
        <f>NT_D!G14</f>
        <v>6</v>
      </c>
      <c r="G354" s="28">
        <f>IF(NT_D!H14&lt;&gt;"",NT_D!H14,"")</f>
      </c>
      <c r="H354" s="26">
        <f t="shared" si="22"/>
        <v>12628352.280000001</v>
      </c>
      <c r="I354" s="4">
        <f t="shared" si="23"/>
        <v>0</v>
      </c>
      <c r="J354" s="27">
        <f>NT_D!I14</f>
        <v>68193236</v>
      </c>
      <c r="K354" s="27">
        <f>NT_D!J14</f>
        <v>71139651</v>
      </c>
    </row>
    <row r="355" spans="4:11" ht="12.75">
      <c r="D355" s="4" t="s">
        <v>557</v>
      </c>
      <c r="E355" s="4">
        <v>5</v>
      </c>
      <c r="F355" s="28">
        <f>NT_D!G15</f>
        <v>7</v>
      </c>
      <c r="G355" s="28">
        <f>IF(NT_D!H15&lt;&gt;"",NT_D!H15,"")</f>
      </c>
      <c r="H355" s="26">
        <f t="shared" si="22"/>
        <v>-6563023.949999999</v>
      </c>
      <c r="I355" s="4">
        <f t="shared" si="23"/>
        <v>0</v>
      </c>
      <c r="J355" s="27">
        <f>NT_D!I15</f>
        <v>-32081099</v>
      </c>
      <c r="K355" s="27">
        <f>NT_D!J15</f>
        <v>-30838193</v>
      </c>
    </row>
    <row r="356" spans="4:11" ht="12.75">
      <c r="D356" s="4" t="s">
        <v>557</v>
      </c>
      <c r="E356" s="4">
        <v>5</v>
      </c>
      <c r="F356" s="28">
        <f>NT_D!G16</f>
        <v>8</v>
      </c>
      <c r="G356" s="28">
        <f>IF(NT_D!H16&lt;&gt;"",NT_D!H16,"")</f>
      </c>
      <c r="H356" s="26">
        <f t="shared" si="22"/>
        <v>-4135355.92</v>
      </c>
      <c r="I356" s="4">
        <f t="shared" si="23"/>
        <v>0</v>
      </c>
      <c r="J356" s="27">
        <f>NT_D!I16</f>
        <v>-16587427</v>
      </c>
      <c r="K356" s="27">
        <f>NT_D!J16</f>
        <v>-17552261</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-9.7</v>
      </c>
      <c r="I358" s="4">
        <f t="shared" si="23"/>
        <v>0</v>
      </c>
      <c r="J358" s="27">
        <f>NT_D!I18</f>
        <v>-97</v>
      </c>
      <c r="K358" s="27">
        <f>NT_D!J18</f>
        <v>0</v>
      </c>
    </row>
    <row r="359" spans="4:11" ht="12.75">
      <c r="D359" s="4" t="s">
        <v>557</v>
      </c>
      <c r="E359" s="4">
        <v>5</v>
      </c>
      <c r="F359" s="28">
        <f>NT_D!G19</f>
        <v>11</v>
      </c>
      <c r="G359" s="28">
        <f>IF(NT_D!H19&lt;&gt;"",NT_D!H19,"")</f>
      </c>
      <c r="H359" s="26">
        <f t="shared" si="22"/>
        <v>-69817.54999999999</v>
      </c>
      <c r="I359" s="4">
        <f t="shared" si="23"/>
        <v>0</v>
      </c>
      <c r="J359" s="27">
        <f>NT_D!I19</f>
        <v>-83589</v>
      </c>
      <c r="K359" s="27">
        <f>NT_D!J19</f>
        <v>-275558</v>
      </c>
    </row>
    <row r="360" spans="4:11" ht="12.75">
      <c r="D360" s="4" t="s">
        <v>557</v>
      </c>
      <c r="E360" s="4">
        <v>5</v>
      </c>
      <c r="F360" s="28">
        <f>NT_D!G20</f>
        <v>12</v>
      </c>
      <c r="G360" s="28">
        <f>IF(NT_D!H20&lt;&gt;"",NT_D!H20,"")</f>
      </c>
      <c r="H360" s="26">
        <f t="shared" si="22"/>
        <v>-5813368.319999999</v>
      </c>
      <c r="I360" s="4">
        <f t="shared" si="23"/>
        <v>0</v>
      </c>
      <c r="J360" s="27">
        <f>NT_D!I20</f>
        <v>-16072706</v>
      </c>
      <c r="K360" s="27">
        <f>NT_D!J20</f>
        <v>-16186015</v>
      </c>
    </row>
    <row r="361" spans="4:11" ht="12.75">
      <c r="D361" s="4" t="s">
        <v>557</v>
      </c>
      <c r="E361" s="4">
        <v>5</v>
      </c>
      <c r="F361" s="28">
        <f>NT_D!G21</f>
        <v>13</v>
      </c>
      <c r="G361" s="28">
        <f>IF(NT_D!H21&lt;&gt;"",NT_D!H21,"")</f>
      </c>
      <c r="H361" s="26">
        <f t="shared" si="22"/>
        <v>-25288766.36</v>
      </c>
      <c r="I361" s="4">
        <f t="shared" si="23"/>
        <v>0</v>
      </c>
      <c r="J361" s="27">
        <f>NT_D!I21</f>
        <v>-64824918</v>
      </c>
      <c r="K361" s="27">
        <f>NT_D!J21</f>
        <v>-64852027</v>
      </c>
    </row>
    <row r="362" spans="4:11" ht="12.75">
      <c r="D362" s="4" t="s">
        <v>557</v>
      </c>
      <c r="E362" s="4">
        <v>5</v>
      </c>
      <c r="F362" s="28">
        <f>NT_D!G22</f>
        <v>14</v>
      </c>
      <c r="G362" s="28">
        <f>IF(NT_D!H22&lt;&gt;"",NT_D!H22,"")</f>
      </c>
      <c r="H362" s="26">
        <f t="shared" si="22"/>
        <v>2232099.24</v>
      </c>
      <c r="I362" s="4">
        <f t="shared" si="23"/>
        <v>0</v>
      </c>
      <c r="J362" s="27">
        <f>NT_D!I22</f>
        <v>3368318</v>
      </c>
      <c r="K362" s="27">
        <f>NT_D!J22</f>
        <v>6287624</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120031.74</v>
      </c>
      <c r="I367" s="4">
        <f t="shared" si="23"/>
        <v>0</v>
      </c>
      <c r="J367" s="27">
        <f>NT_D!I28</f>
        <v>0</v>
      </c>
      <c r="K367" s="27">
        <f>NT_D!J28</f>
        <v>315873</v>
      </c>
    </row>
    <row r="368" spans="4:11" ht="12.75">
      <c r="D368" s="4" t="s">
        <v>557</v>
      </c>
      <c r="E368" s="4">
        <v>5</v>
      </c>
      <c r="F368" s="28">
        <f>NT_D!G29</f>
        <v>20</v>
      </c>
      <c r="G368" s="28">
        <f>IF(NT_D!H29&lt;&gt;"",NT_D!H29,"")</f>
      </c>
      <c r="H368" s="26">
        <f t="shared" si="22"/>
        <v>127152983.20000002</v>
      </c>
      <c r="I368" s="4">
        <f t="shared" si="23"/>
        <v>0</v>
      </c>
      <c r="J368" s="27">
        <f>NT_D!I29</f>
        <v>255656192</v>
      </c>
      <c r="K368" s="27">
        <f>NT_D!J29</f>
        <v>190054362</v>
      </c>
    </row>
    <row r="369" spans="4:11" ht="12.75">
      <c r="D369" s="4" t="s">
        <v>557</v>
      </c>
      <c r="E369" s="4">
        <v>5</v>
      </c>
      <c r="F369" s="28">
        <f>NT_D!G30</f>
        <v>21</v>
      </c>
      <c r="G369" s="28">
        <f>IF(NT_D!H30&lt;&gt;"",NT_D!H30,"")</f>
      </c>
      <c r="H369" s="26">
        <f t="shared" si="22"/>
        <v>133643299.02000001</v>
      </c>
      <c r="I369" s="4">
        <f t="shared" si="23"/>
        <v>0</v>
      </c>
      <c r="J369" s="27">
        <f>NT_D!I30</f>
        <v>255656192</v>
      </c>
      <c r="K369" s="27">
        <f>NT_D!J30</f>
        <v>190370235</v>
      </c>
    </row>
    <row r="370" spans="4:11" ht="12.75">
      <c r="D370" s="4" t="s">
        <v>557</v>
      </c>
      <c r="E370" s="4">
        <v>5</v>
      </c>
      <c r="F370" s="28">
        <f>NT_D!G31</f>
        <v>22</v>
      </c>
      <c r="G370" s="28">
        <f>IF(NT_D!H31&lt;&gt;"",NT_D!H31,"")</f>
      </c>
      <c r="H370" s="26">
        <f t="shared" si="22"/>
        <v>-150969774.78</v>
      </c>
      <c r="I370" s="4">
        <f t="shared" si="23"/>
        <v>0</v>
      </c>
      <c r="J370" s="27">
        <f>NT_D!I31</f>
        <v>-272747745</v>
      </c>
      <c r="K370" s="27">
        <f>NT_D!J31</f>
        <v>-206739252</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-173917.64</v>
      </c>
      <c r="I374" s="4">
        <f t="shared" si="23"/>
        <v>0</v>
      </c>
      <c r="J374" s="27">
        <f>NT_D!I35</f>
        <v>0</v>
      </c>
      <c r="K374" s="27">
        <f>NT_D!J35</f>
        <v>-334457</v>
      </c>
    </row>
    <row r="375" spans="4:11" ht="12.75">
      <c r="D375" s="4" t="s">
        <v>557</v>
      </c>
      <c r="E375" s="4">
        <v>5</v>
      </c>
      <c r="F375" s="28">
        <f>NT_D!G36</f>
        <v>27</v>
      </c>
      <c r="G375" s="28">
        <f>IF(NT_D!H36&lt;&gt;"",NT_D!H36,"")</f>
      </c>
      <c r="H375" s="26">
        <f t="shared" si="22"/>
        <v>-185461694.01</v>
      </c>
      <c r="I375" s="4">
        <f t="shared" si="23"/>
        <v>0</v>
      </c>
      <c r="J375" s="27">
        <f>NT_D!I36</f>
        <v>-272747745</v>
      </c>
      <c r="K375" s="27">
        <f>NT_D!J36</f>
        <v>-207073709</v>
      </c>
    </row>
    <row r="376" spans="4:11" ht="12.75">
      <c r="D376" s="4" t="s">
        <v>557</v>
      </c>
      <c r="E376" s="4">
        <v>5</v>
      </c>
      <c r="F376" s="28">
        <f>NT_D!G37</f>
        <v>28</v>
      </c>
      <c r="G376" s="28">
        <f>IF(NT_D!H37&lt;&gt;"",NT_D!H37,"")</f>
      </c>
      <c r="H376" s="26">
        <f t="shared" si="22"/>
        <v>-14139580.28</v>
      </c>
      <c r="I376" s="4">
        <f t="shared" si="23"/>
        <v>0</v>
      </c>
      <c r="J376" s="27">
        <f>NT_D!I37</f>
        <v>-17091553</v>
      </c>
      <c r="K376" s="27">
        <f>NT_D!J37</f>
        <v>-16703474</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15133872.95</v>
      </c>
      <c r="I379" s="4">
        <f t="shared" si="23"/>
        <v>0</v>
      </c>
      <c r="J379" s="27">
        <f>NT_D!I41</f>
        <v>33808761</v>
      </c>
      <c r="K379" s="27">
        <f>NT_D!J41</f>
        <v>7505092</v>
      </c>
    </row>
    <row r="380" spans="4:11" ht="12.75">
      <c r="D380" s="4" t="s">
        <v>557</v>
      </c>
      <c r="E380" s="4">
        <v>5</v>
      </c>
      <c r="F380" s="28">
        <f>NT_D!G42</f>
        <v>32</v>
      </c>
      <c r="G380" s="28">
        <f>IF(NT_D!H42&lt;&gt;"",NT_D!H42,"")</f>
      </c>
      <c r="H380" s="26">
        <f t="shared" si="22"/>
        <v>12152.96</v>
      </c>
      <c r="I380" s="4">
        <f t="shared" si="23"/>
        <v>0</v>
      </c>
      <c r="J380" s="27">
        <f>NT_D!I42</f>
        <v>0</v>
      </c>
      <c r="K380" s="27">
        <f>NT_D!J42</f>
        <v>18989</v>
      </c>
    </row>
    <row r="381" spans="4:11" ht="12.75">
      <c r="D381" s="4" t="s">
        <v>557</v>
      </c>
      <c r="E381" s="4">
        <v>5</v>
      </c>
      <c r="F381" s="28">
        <f>NT_D!G43</f>
        <v>33</v>
      </c>
      <c r="G381" s="28">
        <f>IF(NT_D!H43&lt;&gt;"",NT_D!H43,"")</f>
      </c>
      <c r="H381" s="26">
        <f t="shared" si="22"/>
        <v>16122784.59</v>
      </c>
      <c r="I381" s="4">
        <f t="shared" si="23"/>
        <v>0</v>
      </c>
      <c r="J381" s="27">
        <f>NT_D!I43</f>
        <v>33808761</v>
      </c>
      <c r="K381" s="27">
        <f>NT_D!J43</f>
        <v>7524081</v>
      </c>
    </row>
    <row r="382" spans="4:11" ht="12.75">
      <c r="D382" s="4" t="s">
        <v>557</v>
      </c>
      <c r="E382" s="4">
        <v>5</v>
      </c>
      <c r="F382" s="28">
        <f>NT_D!G44</f>
        <v>34</v>
      </c>
      <c r="G382" s="28">
        <f>IF(NT_D!H44&lt;&gt;"",NT_D!H44,"")</f>
      </c>
      <c r="H382" s="26">
        <f t="shared" si="22"/>
        <v>-5189220.76</v>
      </c>
      <c r="I382" s="4">
        <f t="shared" si="23"/>
        <v>0</v>
      </c>
      <c r="J382" s="27">
        <f>NT_D!I44</f>
        <v>-1212556</v>
      </c>
      <c r="K382" s="27">
        <f>NT_D!J44</f>
        <v>-7024929</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-5952341.459999999</v>
      </c>
      <c r="I387" s="4">
        <f t="shared" si="23"/>
        <v>0</v>
      </c>
      <c r="J387" s="27">
        <f>NT_D!I49</f>
        <v>-1212556</v>
      </c>
      <c r="K387" s="27">
        <f>NT_D!J49</f>
        <v>-7024929</v>
      </c>
    </row>
    <row r="388" spans="4:11" ht="12.75">
      <c r="D388" s="4" t="s">
        <v>557</v>
      </c>
      <c r="E388" s="4">
        <v>5</v>
      </c>
      <c r="F388" s="28">
        <f>NT_D!G50</f>
        <v>40</v>
      </c>
      <c r="G388" s="28">
        <f>IF(NT_D!H50&lt;&gt;"",NT_D!H50,"")</f>
      </c>
      <c r="H388" s="26">
        <f t="shared" si="22"/>
        <v>13437803.6</v>
      </c>
      <c r="I388" s="4">
        <f t="shared" si="23"/>
        <v>0</v>
      </c>
      <c r="J388" s="27">
        <f>NT_D!I50</f>
        <v>32596205</v>
      </c>
      <c r="K388" s="27">
        <f>NT_D!J50</f>
        <v>499152</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-403378.919999999</v>
      </c>
      <c r="I390" s="4">
        <f t="shared" si="23"/>
        <v>0</v>
      </c>
      <c r="J390" s="27">
        <f>NT_D!I52</f>
        <v>18872970</v>
      </c>
      <c r="K390" s="27">
        <f>NT_D!J52</f>
        <v>-9916698</v>
      </c>
    </row>
    <row r="391" spans="4:11" ht="12.75">
      <c r="D391" s="4" t="s">
        <v>557</v>
      </c>
      <c r="E391" s="4">
        <v>5</v>
      </c>
      <c r="F391" s="28">
        <f>NT_D!G53</f>
        <v>43</v>
      </c>
      <c r="G391" s="28">
        <f>IF(NT_D!H53&lt;&gt;"",NT_D!H53,"")</f>
      </c>
      <c r="H391" s="26">
        <f t="shared" si="22"/>
        <v>42789413.52</v>
      </c>
      <c r="I391" s="4">
        <f t="shared" si="23"/>
        <v>0</v>
      </c>
      <c r="J391" s="27">
        <f>NT_D!I53</f>
        <v>20588108</v>
      </c>
      <c r="K391" s="27">
        <f>NT_D!J53</f>
        <v>39461078</v>
      </c>
    </row>
    <row r="392" spans="4:11" ht="12.75">
      <c r="D392" s="4" t="s">
        <v>557</v>
      </c>
      <c r="E392" s="4">
        <v>5</v>
      </c>
      <c r="F392" s="28">
        <f>NT_D!G54</f>
        <v>44</v>
      </c>
      <c r="G392" s="28">
        <f>IF(NT_D!H54&lt;&gt;"",NT_D!H54,"")</f>
      </c>
      <c r="H392" s="26">
        <f t="shared" si="22"/>
        <v>43361928.72</v>
      </c>
      <c r="I392" s="4">
        <f t="shared" si="23"/>
        <v>0</v>
      </c>
      <c r="J392" s="27">
        <f>NT_D!I54</f>
        <v>39461078</v>
      </c>
      <c r="K392" s="27">
        <f>NT_D!J54</f>
        <v>29544380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29412528.310000002</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1000000</v>
      </c>
      <c r="K393" s="27">
        <f>PK!J10</f>
        <v>105138675</v>
      </c>
      <c r="L393" s="27">
        <f>PK!K10</f>
        <v>8</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-18887707</v>
      </c>
      <c r="X393" s="27">
        <f>PK!W10</f>
        <v>568779</v>
      </c>
      <c r="Y393" s="27">
        <f>PK!X10</f>
        <v>87819755</v>
      </c>
      <c r="Z393" s="27">
        <f>PK!Y10</f>
        <v>0</v>
      </c>
      <c r="AA393" s="27">
        <f>PK!Z10</f>
        <v>87819755</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35750848.81</v>
      </c>
      <c r="I396" s="27">
        <f t="shared" si="25"/>
        <v>0</v>
      </c>
      <c r="J396" s="27">
        <f>PK!I13</f>
        <v>1000000</v>
      </c>
      <c r="K396" s="27">
        <f>PK!J13</f>
        <v>105138675</v>
      </c>
      <c r="L396" s="27">
        <f>PK!K13</f>
        <v>8</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-18887707</v>
      </c>
      <c r="X396" s="27">
        <f>PK!W13</f>
        <v>568779</v>
      </c>
      <c r="Y396" s="27">
        <f>PK!X13</f>
        <v>87819755</v>
      </c>
      <c r="Z396" s="27">
        <f>PK!Y13</f>
        <v>0</v>
      </c>
      <c r="AA396" s="27">
        <f>PK!Z13</f>
        <v>87819755</v>
      </c>
    </row>
    <row r="397" spans="4:27" ht="12.75">
      <c r="D397" s="4" t="s">
        <v>795</v>
      </c>
      <c r="E397" s="4">
        <v>6</v>
      </c>
      <c r="F397" s="4">
        <f>PK!G14</f>
        <v>5</v>
      </c>
      <c r="G397" s="4">
        <f>IF(PK!H14&lt;&gt;"",PK!H14,"")</f>
      </c>
      <c r="H397" s="26">
        <f t="shared" si="24"/>
        <v>253503.46</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517354</v>
      </c>
      <c r="Y397" s="27">
        <f>PK!X14</f>
        <v>517354</v>
      </c>
      <c r="Z397" s="27">
        <f>PK!Y14</f>
        <v>0</v>
      </c>
      <c r="AA397" s="27">
        <f>PK!Z14</f>
        <v>517354</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-5687.790000000008</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568779</v>
      </c>
      <c r="X414" s="27">
        <f>PK!W31</f>
        <v>-568779</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78254134.48</v>
      </c>
      <c r="I416" s="27">
        <f t="shared" si="25"/>
        <v>0</v>
      </c>
      <c r="J416" s="27">
        <f>PK!I33</f>
        <v>1000000</v>
      </c>
      <c r="K416" s="27">
        <f>PK!J33</f>
        <v>105138675</v>
      </c>
      <c r="L416" s="27">
        <f>PK!K33</f>
        <v>8</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-18318928</v>
      </c>
      <c r="X416" s="27">
        <f>PK!W33</f>
        <v>517354</v>
      </c>
      <c r="Y416" s="27">
        <f>PK!X33</f>
        <v>88337109</v>
      </c>
      <c r="Z416" s="27">
        <f>PK!Y33</f>
        <v>0</v>
      </c>
      <c r="AA416" s="27">
        <f>PK!Z33</f>
        <v>88337109</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86705228.48</v>
      </c>
      <c r="I420" s="27">
        <f t="shared" si="25"/>
        <v>0</v>
      </c>
      <c r="J420" s="27">
        <f>PK!I39</f>
        <v>1000000</v>
      </c>
      <c r="K420" s="27">
        <f>PK!J39</f>
        <v>105138675</v>
      </c>
      <c r="L420" s="27">
        <f>PK!K39</f>
        <v>8</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-18318928</v>
      </c>
      <c r="X420" s="27">
        <f>PK!W39</f>
        <v>517354</v>
      </c>
      <c r="Y420" s="27">
        <f>PK!X39</f>
        <v>88337109</v>
      </c>
      <c r="Z420" s="27">
        <f>PK!Y39</f>
        <v>0</v>
      </c>
      <c r="AA420" s="27">
        <f>PK!Z39</f>
        <v>88337109</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93043548.98</v>
      </c>
      <c r="I423" s="27">
        <f t="shared" si="25"/>
        <v>0</v>
      </c>
      <c r="J423" s="27">
        <f>PK!I42</f>
        <v>1000000</v>
      </c>
      <c r="K423" s="27">
        <f>PK!J42</f>
        <v>105138675</v>
      </c>
      <c r="L423" s="27">
        <f>PK!K42</f>
        <v>8</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-18318928</v>
      </c>
      <c r="X423" s="27">
        <f>PK!W42</f>
        <v>517354</v>
      </c>
      <c r="Y423" s="27">
        <f>PK!X42</f>
        <v>88337109</v>
      </c>
      <c r="Z423" s="27">
        <f>PK!Y42</f>
        <v>0</v>
      </c>
      <c r="AA423" s="27">
        <f>PK!Z42</f>
        <v>88337109</v>
      </c>
    </row>
    <row r="424" spans="4:27" ht="12.75">
      <c r="D424" s="4" t="s">
        <v>795</v>
      </c>
      <c r="E424" s="4">
        <v>6</v>
      </c>
      <c r="F424" s="4">
        <f>PK!G43</f>
        <v>32</v>
      </c>
      <c r="G424" s="4">
        <f>IF(PK!H43&lt;&gt;"",PK!H43,"")</f>
      </c>
      <c r="H424" s="26">
        <f t="shared" si="24"/>
        <v>230443.08000000002</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470292</v>
      </c>
      <c r="Y424" s="27">
        <f>PK!X43</f>
        <v>470292</v>
      </c>
      <c r="Z424" s="27">
        <f>PK!Y43</f>
        <v>0</v>
      </c>
      <c r="AA424" s="27">
        <f>PK!Z43</f>
        <v>470292</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-5173.540000000008</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517354</v>
      </c>
      <c r="X441" s="27">
        <f>PK!W60</f>
        <v>-517354</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135524288.51999998</v>
      </c>
      <c r="I443" s="27">
        <f t="shared" si="25"/>
        <v>0</v>
      </c>
      <c r="J443" s="27">
        <f>PK!I62</f>
        <v>1000000</v>
      </c>
      <c r="K443" s="27">
        <f>PK!J62</f>
        <v>105138675</v>
      </c>
      <c r="L443" s="27">
        <f>PK!K62</f>
        <v>8</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-17801574</v>
      </c>
      <c r="X443" s="27">
        <f>PK!W62</f>
        <v>470292</v>
      </c>
      <c r="Y443" s="27">
        <f>PK!X62</f>
        <v>88807401</v>
      </c>
      <c r="Z443" s="27">
        <f>PK!Y62</f>
        <v>0</v>
      </c>
      <c r="AA443" s="27">
        <f>PK!Z62</f>
        <v>88807401</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1" activePane="bottomLeft" state="frozen"/>
      <selection pane="topLeft" activeCell="A2" sqref="A2"/>
      <selection pane="bottomLeft" activeCell="C71" sqref="C71:J7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Vodoopskrba i odvodnja Zagrebačke županije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t="str">
        <f>RefStr!L21</f>
        <v>10858279999</v>
      </c>
      <c r="V3" s="206" t="s">
        <v>2736</v>
      </c>
      <c r="W3" s="224">
        <f>RefStr!C31</f>
        <v>10000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54189804734</v>
      </c>
      <c r="V4" s="206" t="s">
        <v>2737</v>
      </c>
      <c r="W4" s="224" t="str">
        <f>RefStr!F31</f>
        <v>Zagreb</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02307731</v>
      </c>
      <c r="V5" s="206" t="s">
        <v>2738</v>
      </c>
      <c r="W5" s="224" t="str">
        <f>RefStr!C33</f>
        <v>Vukomerečka cesta 89</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1</v>
      </c>
      <c r="P6" s="207">
        <f>NT_D!Q2</f>
        <v>1</v>
      </c>
      <c r="Q6" s="224">
        <f>NT_D!Q3</f>
        <v>1</v>
      </c>
      <c r="R6" s="206" t="s">
        <v>2886</v>
      </c>
      <c r="S6" s="224" t="str">
        <f>RefStr!C21</f>
        <v>NE</v>
      </c>
      <c r="T6" s="206" t="s">
        <v>1561</v>
      </c>
      <c r="U6" s="224" t="str">
        <f>RefStr!M27</f>
        <v>080631487</v>
      </c>
      <c r="V6" s="206" t="s">
        <v>2968</v>
      </c>
      <c r="W6" s="224" t="str">
        <f>RefStr!L35</f>
        <v>013492107</v>
      </c>
      <c r="X6" s="206" t="s">
        <v>2926</v>
      </c>
      <c r="Y6" s="224" t="str">
        <f>RefStr!C68</f>
        <v>Martina Vozdecki</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1</v>
      </c>
      <c r="V7" s="206" t="s">
        <v>2884</v>
      </c>
      <c r="W7" s="224" t="str">
        <f>TRIM(UPPER(RefStr!C35))</f>
        <v>MARTINA.VOZDECKI@VIOZZ.HR</v>
      </c>
      <c r="X7" s="206" t="s">
        <v>2927</v>
      </c>
      <c r="Y7" s="224" t="str">
        <f>RefStr!C70</f>
        <v>013492107</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3600</v>
      </c>
      <c r="X8" s="206" t="s">
        <v>2928</v>
      </c>
      <c r="Y8" s="224" t="str">
        <f>TRIM(UPPER(RefStr!C72))</f>
        <v>MARTINA.VOZDECKI@VIOZZ.HR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112</v>
      </c>
      <c r="Q9" s="223">
        <f>RefStr!F58</f>
        <v>112</v>
      </c>
      <c r="R9" s="206" t="s">
        <v>914</v>
      </c>
      <c r="S9" s="224">
        <f>IF(RefStr!F4&lt;&gt;"",RefStr!F4,0)</f>
        <v>44926</v>
      </c>
      <c r="T9" s="206" t="s">
        <v>891</v>
      </c>
      <c r="U9" s="224">
        <f>RefStr!C39</f>
        <v>133</v>
      </c>
      <c r="V9" s="206" t="s">
        <v>2951</v>
      </c>
      <c r="W9" s="224" t="str">
        <f>RefStr!D42</f>
        <v>Skupljanje, pročišćavanje i opskrba vo...</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115</v>
      </c>
      <c r="Q10" s="225">
        <f>RefStr!F56</f>
        <v>117</v>
      </c>
      <c r="R10" s="208" t="s">
        <v>917</v>
      </c>
      <c r="S10" s="225">
        <f>RefStr!C23</f>
        <v>1</v>
      </c>
      <c r="T10" s="208" t="s">
        <v>2973</v>
      </c>
      <c r="U10" s="225" t="str">
        <f>RefStr!D39</f>
        <v>Zagreb</v>
      </c>
      <c r="V10" s="232"/>
      <c r="W10" s="233"/>
      <c r="X10" s="234" t="s">
        <v>2279</v>
      </c>
      <c r="Y10" s="235">
        <f>RefStr!F12</f>
        <v>2022</v>
      </c>
      <c r="Z10" s="208" t="s">
        <v>1771</v>
      </c>
      <c r="AA10" s="225" t="str">
        <f>RefStr!A75</f>
        <v>Tomislav Masten, dipl.polit.</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https://viozzhr-my.sharepoint.com/personal/martina_vozdecki_viozz_hr/Documents/Dokumenti/REVIZIJA 2022/FINANCIJSKI IZVJEŠTAJI/[GFI-POD_2022_ver_JAVNA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35" activePane="bottomLeft" state="frozen"/>
      <selection pane="topLeft" activeCell="A1" sqref="A1"/>
      <selection pane="bottomLeft" activeCell="C19" sqref="C1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230773.1</v>
      </c>
    </row>
    <row r="13" spans="4:17" ht="9.75" customHeight="1">
      <c r="D13" s="152"/>
      <c r="E13" s="158"/>
      <c r="H13" s="23"/>
      <c r="I13" s="159"/>
      <c r="J13" s="159"/>
      <c r="K13" s="152"/>
      <c r="L13" s="152"/>
      <c r="M13" s="152"/>
      <c r="N13" s="152"/>
      <c r="P13" s="50" t="s">
        <v>1561</v>
      </c>
      <c r="Q13" s="51">
        <f>INT(VALUE(M27))/50</f>
        <v>1612629.74</v>
      </c>
    </row>
    <row r="14" spans="1:17" ht="15">
      <c r="A14" s="377" t="s">
        <v>1312</v>
      </c>
      <c r="B14" s="377"/>
      <c r="C14" s="377"/>
      <c r="D14" s="160"/>
      <c r="E14" s="161"/>
      <c r="F14" s="375"/>
      <c r="G14" s="376"/>
      <c r="H14" s="376"/>
      <c r="I14" s="152"/>
      <c r="J14" s="367" t="s">
        <v>1978</v>
      </c>
      <c r="K14" s="368"/>
      <c r="L14" s="368"/>
      <c r="M14" s="368"/>
      <c r="N14" s="368"/>
      <c r="P14" s="50" t="s">
        <v>1316</v>
      </c>
      <c r="Q14" s="51">
        <f>INT(VALUE(C27))/100</f>
        <v>541898047.34</v>
      </c>
    </row>
    <row r="15" spans="1:17" ht="19.5" customHeight="1">
      <c r="A15" s="364">
        <f>Skriveni!B59</f>
        <v>17201054245.489998</v>
      </c>
      <c r="B15" s="365"/>
      <c r="C15" s="366"/>
      <c r="D15" s="56"/>
      <c r="E15" s="56"/>
      <c r="F15" s="56"/>
      <c r="G15" s="56"/>
      <c r="H15" s="56"/>
      <c r="I15" s="56"/>
      <c r="J15" s="56"/>
      <c r="K15" s="56"/>
      <c r="L15" s="56"/>
      <c r="M15" s="56"/>
      <c r="N15" s="56"/>
      <c r="P15" s="50" t="s">
        <v>887</v>
      </c>
      <c r="Q15" s="51">
        <f>LEN(Skriveni!B9)</f>
        <v>49</v>
      </c>
    </row>
    <row r="16" spans="4:17" ht="12.75" customHeight="1">
      <c r="D16" s="56"/>
      <c r="E16" s="56"/>
      <c r="F16" s="56"/>
      <c r="G16" s="56"/>
      <c r="H16" s="56"/>
      <c r="I16" s="56"/>
      <c r="P16" s="50" t="s">
        <v>888</v>
      </c>
      <c r="Q16" s="51">
        <f>INT(VALUE(C31))/100</f>
        <v>100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2992</v>
      </c>
      <c r="P19" s="50" t="s">
        <v>890</v>
      </c>
      <c r="Q19" s="51">
        <f>LEN(Skriveni!B12)</f>
        <v>20</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2982</v>
      </c>
      <c r="M21" s="319"/>
      <c r="N21" s="290"/>
      <c r="P21" s="50" t="s">
        <v>891</v>
      </c>
      <c r="Q21" s="51">
        <f>INT(VALUE(C39))</f>
        <v>133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3600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10000</v>
      </c>
      <c r="D31" s="328" t="s">
        <v>929</v>
      </c>
      <c r="E31" s="329"/>
      <c r="F31" s="302" t="s">
        <v>2864</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2989</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133</v>
      </c>
      <c r="D39" s="278" t="str">
        <f>IF(C39="","Upišite šifru grada/općine",IF(ISNA(LOOKUP(C39,A177:A732,A177:A732)),"Šifra grada/općine ne postoji",IF(LOOKUP(C39,A177:A732,A177:A732)&lt;&gt;C39,"Šifra grada/općine ne postoji",LOOKUP(C39,A177:A732,B177:B732))))</f>
        <v>Zagreb</v>
      </c>
      <c r="E39" s="323"/>
      <c r="F39" s="323"/>
      <c r="G39" s="323"/>
      <c r="H39" s="287" t="s">
        <v>2109</v>
      </c>
      <c r="I39" s="306"/>
      <c r="J39" s="54">
        <f>IF(C39&gt;0,LOOKUP(C39,A177:A732,C177:C732),"")</f>
        <v>21</v>
      </c>
      <c r="K39" s="332" t="str">
        <f>IF(J39="","Upišite šifru grada/općine",LOOKUP(J39,A153:A173,B153:B173))</f>
        <v>GRAD ZAGREB</v>
      </c>
      <c r="L39" s="332"/>
      <c r="M39" s="332"/>
      <c r="N39" s="332"/>
      <c r="P39" s="50" t="s">
        <v>896</v>
      </c>
      <c r="Q39" s="51">
        <f>C56+2*F56+3*C58+4*F58</f>
        <v>1133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2347</v>
      </c>
      <c r="D42" s="320" t="str">
        <f>IF(C42="","Upišite šifru razreda glavne djelatnosti",IF(ISNA(LOOKUP(C42,A736:A1351,A736:A1351)),"Šifra NKD-a ne postoji",IF(LOOKUP(C42,A736:A1351,A736:A1351)&lt;&gt;C42,"Šifra NKD-a ne postoji",LOOKUP(C42,A736:A1351,B736:B1351))))</f>
        <v>Skupljanje, pročišćavanje i opskrba vo...</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28</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108582799.99</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115</v>
      </c>
      <c r="D56" s="326" t="s">
        <v>2653</v>
      </c>
      <c r="E56" s="327"/>
      <c r="F56" s="40">
        <v>117</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112</v>
      </c>
      <c r="D58" s="314" t="s">
        <v>2653</v>
      </c>
      <c r="E58" s="314"/>
      <c r="F58" s="40">
        <v>112</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2990</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2991</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2988</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46" activePane="bottomLeft" state="frozen"/>
      <selection pane="topLeft" activeCell="A1" sqref="A1"/>
      <selection pane="bottomLeft" activeCell="J60" sqref="J6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54189804734; Vodoopskrba i odvodnja Zagrebačke županije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1120758325</v>
      </c>
      <c r="J10" s="66">
        <f>J11+J18+J28+J39+J44</f>
        <v>1319802481</v>
      </c>
    </row>
    <row r="11" spans="1:10" ht="13.5" customHeight="1">
      <c r="A11" s="386" t="s">
        <v>904</v>
      </c>
      <c r="B11" s="386"/>
      <c r="C11" s="386"/>
      <c r="D11" s="386"/>
      <c r="E11" s="386"/>
      <c r="F11" s="386"/>
      <c r="G11" s="15">
        <v>3</v>
      </c>
      <c r="H11" s="16"/>
      <c r="I11" s="66">
        <f>SUM(I12:I17)</f>
        <v>18965823</v>
      </c>
      <c r="J11" s="66">
        <f>SUM(J12:J17)</f>
        <v>19076728</v>
      </c>
    </row>
    <row r="12" spans="1:10" ht="13.5" customHeight="1">
      <c r="A12" s="385" t="s">
        <v>1887</v>
      </c>
      <c r="B12" s="385"/>
      <c r="C12" s="385"/>
      <c r="D12" s="385"/>
      <c r="E12" s="385"/>
      <c r="F12" s="385"/>
      <c r="G12" s="15">
        <v>4</v>
      </c>
      <c r="H12" s="16"/>
      <c r="I12" s="67">
        <v>840359</v>
      </c>
      <c r="J12" s="67">
        <v>840359</v>
      </c>
    </row>
    <row r="13" spans="1:10" ht="24.75" customHeight="1">
      <c r="A13" s="385" t="s">
        <v>880</v>
      </c>
      <c r="B13" s="385"/>
      <c r="C13" s="385"/>
      <c r="D13" s="385"/>
      <c r="E13" s="385"/>
      <c r="F13" s="385"/>
      <c r="G13" s="15">
        <v>5</v>
      </c>
      <c r="H13" s="16"/>
      <c r="I13" s="67">
        <v>389002</v>
      </c>
      <c r="J13" s="67">
        <v>410360</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v>17736462</v>
      </c>
      <c r="J16" s="67">
        <v>17826009</v>
      </c>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1101490950</v>
      </c>
      <c r="J18" s="66">
        <f>SUM(J19:J27)</f>
        <v>1300424201</v>
      </c>
    </row>
    <row r="19" spans="1:10" ht="13.5" customHeight="1">
      <c r="A19" s="385" t="s">
        <v>733</v>
      </c>
      <c r="B19" s="385"/>
      <c r="C19" s="385"/>
      <c r="D19" s="385"/>
      <c r="E19" s="385"/>
      <c r="F19" s="385"/>
      <c r="G19" s="15">
        <v>11</v>
      </c>
      <c r="H19" s="16"/>
      <c r="I19" s="67">
        <v>24490489</v>
      </c>
      <c r="J19" s="67">
        <v>25710707</v>
      </c>
    </row>
    <row r="20" spans="1:10" ht="13.5" customHeight="1">
      <c r="A20" s="385" t="s">
        <v>796</v>
      </c>
      <c r="B20" s="385"/>
      <c r="C20" s="385"/>
      <c r="D20" s="385"/>
      <c r="E20" s="385"/>
      <c r="F20" s="385"/>
      <c r="G20" s="15">
        <v>12</v>
      </c>
      <c r="H20" s="16"/>
      <c r="I20" s="67">
        <v>496806445</v>
      </c>
      <c r="J20" s="67">
        <v>484557975</v>
      </c>
    </row>
    <row r="21" spans="1:10" ht="13.5" customHeight="1">
      <c r="A21" s="385" t="s">
        <v>734</v>
      </c>
      <c r="B21" s="385"/>
      <c r="C21" s="385"/>
      <c r="D21" s="385"/>
      <c r="E21" s="385"/>
      <c r="F21" s="385"/>
      <c r="G21" s="15">
        <v>13</v>
      </c>
      <c r="H21" s="16"/>
      <c r="I21" s="67">
        <v>5917310</v>
      </c>
      <c r="J21" s="67">
        <v>6588219</v>
      </c>
    </row>
    <row r="22" spans="1:10" ht="13.5" customHeight="1">
      <c r="A22" s="385" t="s">
        <v>405</v>
      </c>
      <c r="B22" s="385"/>
      <c r="C22" s="385"/>
      <c r="D22" s="385"/>
      <c r="E22" s="385"/>
      <c r="F22" s="385"/>
      <c r="G22" s="15">
        <v>14</v>
      </c>
      <c r="H22" s="16"/>
      <c r="I22" s="67">
        <v>4366383</v>
      </c>
      <c r="J22" s="67">
        <v>3986064</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v>306976</v>
      </c>
      <c r="J24" s="67">
        <v>5976</v>
      </c>
    </row>
    <row r="25" spans="1:10" ht="13.5" customHeight="1">
      <c r="A25" s="385" t="s">
        <v>2692</v>
      </c>
      <c r="B25" s="385"/>
      <c r="C25" s="385"/>
      <c r="D25" s="385"/>
      <c r="E25" s="385"/>
      <c r="F25" s="385"/>
      <c r="G25" s="15">
        <v>17</v>
      </c>
      <c r="H25" s="16"/>
      <c r="I25" s="67">
        <v>569402960</v>
      </c>
      <c r="J25" s="67">
        <v>778974361</v>
      </c>
    </row>
    <row r="26" spans="1:10" ht="13.5" customHeight="1">
      <c r="A26" s="385" t="s">
        <v>2693</v>
      </c>
      <c r="B26" s="385"/>
      <c r="C26" s="385"/>
      <c r="D26" s="385"/>
      <c r="E26" s="385"/>
      <c r="F26" s="385"/>
      <c r="G26" s="15">
        <v>18</v>
      </c>
      <c r="H26" s="16"/>
      <c r="I26" s="67">
        <v>200387</v>
      </c>
      <c r="J26" s="67">
        <v>600899</v>
      </c>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301552</v>
      </c>
      <c r="J28" s="66">
        <f>SUM(J29:J38)</f>
        <v>301552</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v>168117</v>
      </c>
      <c r="J35" s="67">
        <v>168117</v>
      </c>
    </row>
    <row r="36" spans="1:10" ht="13.5" customHeight="1">
      <c r="A36" s="385" t="s">
        <v>709</v>
      </c>
      <c r="B36" s="385"/>
      <c r="C36" s="385"/>
      <c r="D36" s="385"/>
      <c r="E36" s="385"/>
      <c r="F36" s="385"/>
      <c r="G36" s="15">
        <v>28</v>
      </c>
      <c r="H36" s="16"/>
      <c r="I36" s="67">
        <v>133435</v>
      </c>
      <c r="J36" s="67">
        <v>133435</v>
      </c>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72678439</v>
      </c>
      <c r="J45" s="66">
        <f>J46+J54+J61+J71</f>
        <v>66969958</v>
      </c>
    </row>
    <row r="46" spans="1:10" ht="13.5" customHeight="1">
      <c r="A46" s="386" t="s">
        <v>1264</v>
      </c>
      <c r="B46" s="386"/>
      <c r="C46" s="386"/>
      <c r="D46" s="386"/>
      <c r="E46" s="386"/>
      <c r="F46" s="386"/>
      <c r="G46" s="15">
        <v>38</v>
      </c>
      <c r="H46" s="16"/>
      <c r="I46" s="66">
        <f>SUM(I47:I53)</f>
        <v>2125106</v>
      </c>
      <c r="J46" s="66">
        <f>SUM(J47:J53)</f>
        <v>2315355</v>
      </c>
    </row>
    <row r="47" spans="1:10" ht="13.5" customHeight="1">
      <c r="A47" s="385" t="s">
        <v>1892</v>
      </c>
      <c r="B47" s="385"/>
      <c r="C47" s="385"/>
      <c r="D47" s="385"/>
      <c r="E47" s="385"/>
      <c r="F47" s="385"/>
      <c r="G47" s="15">
        <v>39</v>
      </c>
      <c r="H47" s="16"/>
      <c r="I47" s="67">
        <v>2125106</v>
      </c>
      <c r="J47" s="67">
        <v>2315355</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30313843</v>
      </c>
      <c r="J54" s="66">
        <f>SUM(J55:J60)</f>
        <v>34647082</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9350779</v>
      </c>
      <c r="J57" s="67">
        <v>8971514</v>
      </c>
    </row>
    <row r="58" spans="1:10" ht="13.5" customHeight="1">
      <c r="A58" s="385" t="s">
        <v>2009</v>
      </c>
      <c r="B58" s="385"/>
      <c r="C58" s="385"/>
      <c r="D58" s="385"/>
      <c r="E58" s="385"/>
      <c r="F58" s="385"/>
      <c r="G58" s="15">
        <v>50</v>
      </c>
      <c r="H58" s="16"/>
      <c r="I58" s="67">
        <v>276</v>
      </c>
      <c r="J58" s="67">
        <v>205</v>
      </c>
    </row>
    <row r="59" spans="1:10" ht="13.5" customHeight="1">
      <c r="A59" s="385" t="s">
        <v>2010</v>
      </c>
      <c r="B59" s="385"/>
      <c r="C59" s="385"/>
      <c r="D59" s="385"/>
      <c r="E59" s="385"/>
      <c r="F59" s="385"/>
      <c r="G59" s="15">
        <v>51</v>
      </c>
      <c r="H59" s="16"/>
      <c r="I59" s="67">
        <v>232572</v>
      </c>
      <c r="J59" s="67">
        <v>623711</v>
      </c>
    </row>
    <row r="60" spans="1:10" ht="13.5" customHeight="1">
      <c r="A60" s="385" t="s">
        <v>1255</v>
      </c>
      <c r="B60" s="385"/>
      <c r="C60" s="385"/>
      <c r="D60" s="385"/>
      <c r="E60" s="385"/>
      <c r="F60" s="385"/>
      <c r="G60" s="15">
        <v>52</v>
      </c>
      <c r="H60" s="16"/>
      <c r="I60" s="67">
        <v>20730216</v>
      </c>
      <c r="J60" s="67">
        <v>25051652</v>
      </c>
    </row>
    <row r="61" spans="1:10" ht="13.5" customHeight="1">
      <c r="A61" s="386" t="s">
        <v>1266</v>
      </c>
      <c r="B61" s="386"/>
      <c r="C61" s="386"/>
      <c r="D61" s="386"/>
      <c r="E61" s="386"/>
      <c r="F61" s="386"/>
      <c r="G61" s="15">
        <v>53</v>
      </c>
      <c r="H61" s="16"/>
      <c r="I61" s="66">
        <f>SUM(I62:I70)</f>
        <v>778412</v>
      </c>
      <c r="J61" s="66">
        <f>SUM(J62:J70)</f>
        <v>463141</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v>778412</v>
      </c>
      <c r="J69" s="67">
        <v>463141</v>
      </c>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39461078</v>
      </c>
      <c r="J71" s="67">
        <v>29544380</v>
      </c>
    </row>
    <row r="72" spans="1:10" ht="24.75" customHeight="1">
      <c r="A72" s="387" t="s">
        <v>591</v>
      </c>
      <c r="B72" s="387"/>
      <c r="C72" s="387"/>
      <c r="D72" s="387"/>
      <c r="E72" s="387"/>
      <c r="F72" s="387"/>
      <c r="G72" s="15">
        <v>64</v>
      </c>
      <c r="H72" s="16"/>
      <c r="I72" s="67">
        <v>196773</v>
      </c>
      <c r="J72" s="67">
        <v>181328</v>
      </c>
    </row>
    <row r="73" spans="1:10" ht="13.5" customHeight="1">
      <c r="A73" s="387" t="s">
        <v>1267</v>
      </c>
      <c r="B73" s="387"/>
      <c r="C73" s="387"/>
      <c r="D73" s="387"/>
      <c r="E73" s="387"/>
      <c r="F73" s="387"/>
      <c r="G73" s="15">
        <v>65</v>
      </c>
      <c r="H73" s="16"/>
      <c r="I73" s="66">
        <f>I9+I10+I45+I72</f>
        <v>1193633537</v>
      </c>
      <c r="J73" s="66">
        <f>J9+J10+J45+J72</f>
        <v>1386953767</v>
      </c>
    </row>
    <row r="74" spans="1:10" ht="13.5" customHeight="1">
      <c r="A74" s="388" t="s">
        <v>1004</v>
      </c>
      <c r="B74" s="388"/>
      <c r="C74" s="388"/>
      <c r="D74" s="388"/>
      <c r="E74" s="388"/>
      <c r="F74" s="388"/>
      <c r="G74" s="17">
        <v>66</v>
      </c>
      <c r="H74" s="18"/>
      <c r="I74" s="68">
        <v>5799469</v>
      </c>
      <c r="J74" s="68">
        <v>5799469</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88337109</v>
      </c>
      <c r="J76" s="66">
        <f>J77+J78+J79+J85+J86+J92+J95+J98</f>
        <v>88807401</v>
      </c>
      <c r="L76" s="2" t="s">
        <v>1209</v>
      </c>
    </row>
    <row r="77" spans="1:10" ht="13.5" customHeight="1">
      <c r="A77" s="386" t="s">
        <v>1857</v>
      </c>
      <c r="B77" s="386"/>
      <c r="C77" s="386"/>
      <c r="D77" s="386"/>
      <c r="E77" s="386"/>
      <c r="F77" s="386"/>
      <c r="G77" s="15">
        <v>68</v>
      </c>
      <c r="H77" s="16"/>
      <c r="I77" s="67">
        <v>1000000</v>
      </c>
      <c r="J77" s="67">
        <v>1000000</v>
      </c>
    </row>
    <row r="78" spans="1:12" ht="13.5" customHeight="1">
      <c r="A78" s="386" t="s">
        <v>1858</v>
      </c>
      <c r="B78" s="386"/>
      <c r="C78" s="386"/>
      <c r="D78" s="386"/>
      <c r="E78" s="386"/>
      <c r="F78" s="386"/>
      <c r="G78" s="15">
        <v>69</v>
      </c>
      <c r="H78" s="16"/>
      <c r="I78" s="67">
        <v>105138675</v>
      </c>
      <c r="J78" s="67">
        <v>105138675</v>
      </c>
      <c r="L78" s="2" t="s">
        <v>1209</v>
      </c>
    </row>
    <row r="79" spans="1:12" ht="13.5" customHeight="1">
      <c r="A79" s="386" t="s">
        <v>673</v>
      </c>
      <c r="B79" s="386"/>
      <c r="C79" s="386"/>
      <c r="D79" s="386"/>
      <c r="E79" s="386"/>
      <c r="F79" s="386"/>
      <c r="G79" s="15">
        <v>70</v>
      </c>
      <c r="H79" s="16"/>
      <c r="I79" s="66">
        <f>I80+I81-I82+I83+I84</f>
        <v>8</v>
      </c>
      <c r="J79" s="66">
        <f>J80+J81-J82+J83+J84</f>
        <v>8</v>
      </c>
      <c r="L79" s="2" t="s">
        <v>1209</v>
      </c>
    </row>
    <row r="80" spans="1:12" ht="13.5" customHeight="1">
      <c r="A80" s="385" t="s">
        <v>1258</v>
      </c>
      <c r="B80" s="385"/>
      <c r="C80" s="385"/>
      <c r="D80" s="385"/>
      <c r="E80" s="385"/>
      <c r="F80" s="385"/>
      <c r="G80" s="15">
        <v>71</v>
      </c>
      <c r="H80" s="16"/>
      <c r="I80" s="67">
        <v>8</v>
      </c>
      <c r="J80" s="67">
        <v>8</v>
      </c>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-18318928</v>
      </c>
      <c r="J92" s="66">
        <f>J93-J94</f>
        <v>-17801574</v>
      </c>
      <c r="L92" s="2" t="s">
        <v>1209</v>
      </c>
    </row>
    <row r="93" spans="1:10" ht="13.5" customHeight="1">
      <c r="A93" s="385" t="s">
        <v>2830</v>
      </c>
      <c r="B93" s="385"/>
      <c r="C93" s="385"/>
      <c r="D93" s="385"/>
      <c r="E93" s="385"/>
      <c r="F93" s="385"/>
      <c r="G93" s="15">
        <v>84</v>
      </c>
      <c r="H93" s="16"/>
      <c r="I93" s="67">
        <v>3635344</v>
      </c>
      <c r="J93" s="67">
        <v>3635344</v>
      </c>
    </row>
    <row r="94" spans="1:10" ht="13.5" customHeight="1">
      <c r="A94" s="385" t="s">
        <v>2831</v>
      </c>
      <c r="B94" s="385"/>
      <c r="C94" s="385"/>
      <c r="D94" s="385"/>
      <c r="E94" s="385"/>
      <c r="F94" s="385"/>
      <c r="G94" s="15">
        <v>85</v>
      </c>
      <c r="H94" s="16"/>
      <c r="I94" s="67">
        <v>21954272</v>
      </c>
      <c r="J94" s="67">
        <v>21436918</v>
      </c>
    </row>
    <row r="95" spans="1:12" ht="13.5" customHeight="1">
      <c r="A95" s="386" t="s">
        <v>2487</v>
      </c>
      <c r="B95" s="386"/>
      <c r="C95" s="386"/>
      <c r="D95" s="386"/>
      <c r="E95" s="386"/>
      <c r="F95" s="386"/>
      <c r="G95" s="15">
        <v>86</v>
      </c>
      <c r="H95" s="16"/>
      <c r="I95" s="66">
        <f>I96-I97</f>
        <v>517354</v>
      </c>
      <c r="J95" s="66">
        <f>J96-J97</f>
        <v>470292</v>
      </c>
      <c r="L95" s="2" t="s">
        <v>1209</v>
      </c>
    </row>
    <row r="96" spans="1:10" ht="13.5" customHeight="1">
      <c r="A96" s="385" t="s">
        <v>1257</v>
      </c>
      <c r="B96" s="385"/>
      <c r="C96" s="385"/>
      <c r="D96" s="385"/>
      <c r="E96" s="385"/>
      <c r="F96" s="385"/>
      <c r="G96" s="15">
        <v>87</v>
      </c>
      <c r="H96" s="16"/>
      <c r="I96" s="67">
        <v>517354</v>
      </c>
      <c r="J96" s="67">
        <v>470292</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830413</v>
      </c>
      <c r="J99" s="66">
        <f>SUM(J100:J105)</f>
        <v>830413</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v>830413</v>
      </c>
      <c r="J102" s="67">
        <v>830413</v>
      </c>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33496996</v>
      </c>
      <c r="J106" s="66">
        <f>SUM(J107:J117)</f>
        <v>34527824</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33017996</v>
      </c>
      <c r="J112" s="67">
        <v>34048824</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v>479000</v>
      </c>
      <c r="J114" s="67">
        <v>479000</v>
      </c>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120543192</v>
      </c>
      <c r="J118" s="66">
        <f>SUM(J119:J132)</f>
        <v>124303892</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5778848</v>
      </c>
      <c r="J124" s="67">
        <v>6729167</v>
      </c>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91315470</v>
      </c>
      <c r="J126" s="67">
        <v>96850965</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848435</v>
      </c>
      <c r="J128" s="67">
        <v>914442</v>
      </c>
    </row>
    <row r="129" spans="1:10" ht="13.5" customHeight="1">
      <c r="A129" s="385" t="s">
        <v>2023</v>
      </c>
      <c r="B129" s="385"/>
      <c r="C129" s="385"/>
      <c r="D129" s="385"/>
      <c r="E129" s="385"/>
      <c r="F129" s="385"/>
      <c r="G129" s="15">
        <v>120</v>
      </c>
      <c r="H129" s="16"/>
      <c r="I129" s="67">
        <v>474758</v>
      </c>
      <c r="J129" s="67">
        <v>451162</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22125681</v>
      </c>
      <c r="J132" s="67">
        <v>19358156</v>
      </c>
    </row>
    <row r="133" spans="1:10" ht="24.75" customHeight="1">
      <c r="A133" s="387" t="s">
        <v>593</v>
      </c>
      <c r="B133" s="387"/>
      <c r="C133" s="387"/>
      <c r="D133" s="387"/>
      <c r="E133" s="387"/>
      <c r="F133" s="387"/>
      <c r="G133" s="15">
        <v>124</v>
      </c>
      <c r="H133" s="16"/>
      <c r="I133" s="67">
        <v>950425827</v>
      </c>
      <c r="J133" s="67">
        <v>1138484237</v>
      </c>
    </row>
    <row r="134" spans="1:10" ht="13.5" customHeight="1">
      <c r="A134" s="387" t="s">
        <v>360</v>
      </c>
      <c r="B134" s="387"/>
      <c r="C134" s="387"/>
      <c r="D134" s="387"/>
      <c r="E134" s="387"/>
      <c r="F134" s="387"/>
      <c r="G134" s="15">
        <v>125</v>
      </c>
      <c r="H134" s="16"/>
      <c r="I134" s="66">
        <f>I76+I99+I106+I118+I133</f>
        <v>1193633537</v>
      </c>
      <c r="J134" s="66">
        <f>J76+J99+J106+J118+J133</f>
        <v>1386953767</v>
      </c>
    </row>
    <row r="135" spans="1:10" ht="13.5" customHeight="1">
      <c r="A135" s="388" t="s">
        <v>1512</v>
      </c>
      <c r="B135" s="388"/>
      <c r="C135" s="388"/>
      <c r="D135" s="388"/>
      <c r="E135" s="388"/>
      <c r="F135" s="388"/>
      <c r="G135" s="17">
        <v>126</v>
      </c>
      <c r="H135" s="18"/>
      <c r="I135" s="68">
        <v>5799469</v>
      </c>
      <c r="J135" s="68">
        <v>5799469</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32" activePane="bottomLeft" state="frozen"/>
      <selection pane="topLeft" activeCell="A1" sqref="A1"/>
      <selection pane="bottomLeft" activeCell="K65" sqref="K6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54189804734; Vodoopskrba i odvodnja Zagrebačke županije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60041659</v>
      </c>
      <c r="J8" s="80">
        <f>SUM(J9:J13)</f>
        <v>61949856</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40467646</v>
      </c>
      <c r="J10" s="67">
        <v>41518816</v>
      </c>
    </row>
    <row r="11" spans="1:10" s="2" customFormat="1" ht="14.25" customHeight="1">
      <c r="A11" s="385" t="s">
        <v>1086</v>
      </c>
      <c r="B11" s="385"/>
      <c r="C11" s="385"/>
      <c r="D11" s="385"/>
      <c r="E11" s="385"/>
      <c r="F11" s="385"/>
      <c r="G11" s="15">
        <v>130</v>
      </c>
      <c r="H11" s="16"/>
      <c r="I11" s="67">
        <v>1151141</v>
      </c>
      <c r="J11" s="67">
        <v>1322975</v>
      </c>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18422872</v>
      </c>
      <c r="J13" s="67">
        <v>19108065</v>
      </c>
    </row>
    <row r="14" spans="1:10" s="2" customFormat="1" ht="14.25" customHeight="1">
      <c r="A14" s="387" t="s">
        <v>2492</v>
      </c>
      <c r="B14" s="387"/>
      <c r="C14" s="387"/>
      <c r="D14" s="387"/>
      <c r="E14" s="387"/>
      <c r="F14" s="387"/>
      <c r="G14" s="15">
        <v>133</v>
      </c>
      <c r="H14" s="16"/>
      <c r="I14" s="66">
        <f>I15+I16+I20+I24+I25+I26+I29+I36</f>
        <v>59035611</v>
      </c>
      <c r="J14" s="66">
        <f>J15+J16+J20+J24+J25+J26+J29+J36</f>
        <v>60682793</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20668381</v>
      </c>
      <c r="J16" s="66">
        <f>SUM(J17:J19)</f>
        <v>22853040</v>
      </c>
    </row>
    <row r="17" spans="1:10" s="2" customFormat="1" ht="14.25" customHeight="1">
      <c r="A17" s="416" t="s">
        <v>1273</v>
      </c>
      <c r="B17" s="416"/>
      <c r="C17" s="416"/>
      <c r="D17" s="416"/>
      <c r="E17" s="416"/>
      <c r="F17" s="416"/>
      <c r="G17" s="15">
        <v>136</v>
      </c>
      <c r="H17" s="16"/>
      <c r="I17" s="67">
        <v>5305530</v>
      </c>
      <c r="J17" s="67">
        <v>7396470</v>
      </c>
    </row>
    <row r="18" spans="1:10" s="2" customFormat="1" ht="14.25" customHeight="1">
      <c r="A18" s="416" t="s">
        <v>1274</v>
      </c>
      <c r="B18" s="416"/>
      <c r="C18" s="416"/>
      <c r="D18" s="416"/>
      <c r="E18" s="416"/>
      <c r="F18" s="416"/>
      <c r="G18" s="15">
        <v>137</v>
      </c>
      <c r="H18" s="16"/>
      <c r="I18" s="67">
        <v>8110182</v>
      </c>
      <c r="J18" s="67">
        <v>8578783</v>
      </c>
    </row>
    <row r="19" spans="1:10" s="2" customFormat="1" ht="14.25" customHeight="1">
      <c r="A19" s="416" t="s">
        <v>2959</v>
      </c>
      <c r="B19" s="416"/>
      <c r="C19" s="416"/>
      <c r="D19" s="416"/>
      <c r="E19" s="416"/>
      <c r="F19" s="416"/>
      <c r="G19" s="15">
        <v>138</v>
      </c>
      <c r="H19" s="16"/>
      <c r="I19" s="67">
        <v>7252669</v>
      </c>
      <c r="J19" s="67">
        <v>6877787</v>
      </c>
    </row>
    <row r="20" spans="1:10" s="2" customFormat="1" ht="14.25" customHeight="1">
      <c r="A20" s="385" t="s">
        <v>2494</v>
      </c>
      <c r="B20" s="385"/>
      <c r="C20" s="385"/>
      <c r="D20" s="385"/>
      <c r="E20" s="385"/>
      <c r="F20" s="385"/>
      <c r="G20" s="15">
        <v>139</v>
      </c>
      <c r="H20" s="16"/>
      <c r="I20" s="66">
        <f>SUM(I21:I23)</f>
        <v>15002311</v>
      </c>
      <c r="J20" s="66">
        <f>SUM(J21:J23)</f>
        <v>14699911</v>
      </c>
    </row>
    <row r="21" spans="1:10" s="2" customFormat="1" ht="14.25" customHeight="1">
      <c r="A21" s="416" t="s">
        <v>960</v>
      </c>
      <c r="B21" s="416"/>
      <c r="C21" s="416"/>
      <c r="D21" s="416"/>
      <c r="E21" s="416"/>
      <c r="F21" s="416"/>
      <c r="G21" s="15">
        <v>140</v>
      </c>
      <c r="H21" s="16"/>
      <c r="I21" s="67">
        <v>9569335</v>
      </c>
      <c r="J21" s="67">
        <v>9334883</v>
      </c>
    </row>
    <row r="22" spans="1:10" s="2" customFormat="1" ht="14.25" customHeight="1">
      <c r="A22" s="416" t="s">
        <v>1883</v>
      </c>
      <c r="B22" s="416"/>
      <c r="C22" s="416"/>
      <c r="D22" s="416"/>
      <c r="E22" s="416"/>
      <c r="F22" s="416"/>
      <c r="G22" s="15">
        <v>141</v>
      </c>
      <c r="H22" s="16"/>
      <c r="I22" s="67">
        <v>3377439</v>
      </c>
      <c r="J22" s="67">
        <v>3351769</v>
      </c>
    </row>
    <row r="23" spans="1:10" s="2" customFormat="1" ht="14.25" customHeight="1">
      <c r="A23" s="416" t="s">
        <v>1884</v>
      </c>
      <c r="B23" s="416"/>
      <c r="C23" s="416"/>
      <c r="D23" s="416"/>
      <c r="E23" s="416"/>
      <c r="F23" s="416"/>
      <c r="G23" s="15">
        <v>142</v>
      </c>
      <c r="H23" s="16"/>
      <c r="I23" s="67">
        <v>2055537</v>
      </c>
      <c r="J23" s="67">
        <v>2013259</v>
      </c>
    </row>
    <row r="24" spans="1:10" s="2" customFormat="1" ht="14.25" customHeight="1">
      <c r="A24" s="385" t="s">
        <v>1006</v>
      </c>
      <c r="B24" s="385"/>
      <c r="C24" s="385"/>
      <c r="D24" s="385"/>
      <c r="E24" s="385"/>
      <c r="F24" s="385"/>
      <c r="G24" s="15">
        <v>143</v>
      </c>
      <c r="H24" s="16"/>
      <c r="I24" s="67">
        <v>19575357</v>
      </c>
      <c r="J24" s="67">
        <v>19970365</v>
      </c>
    </row>
    <row r="25" spans="1:10" s="2" customFormat="1" ht="14.25" customHeight="1">
      <c r="A25" s="385" t="s">
        <v>1007</v>
      </c>
      <c r="B25" s="385"/>
      <c r="C25" s="385"/>
      <c r="D25" s="385"/>
      <c r="E25" s="385"/>
      <c r="F25" s="385"/>
      <c r="G25" s="15">
        <v>144</v>
      </c>
      <c r="H25" s="16"/>
      <c r="I25" s="67">
        <v>2262884</v>
      </c>
      <c r="J25" s="67">
        <v>2648357</v>
      </c>
    </row>
    <row r="26" spans="1:12" s="2" customFormat="1" ht="14.25" customHeight="1">
      <c r="A26" s="385" t="s">
        <v>2495</v>
      </c>
      <c r="B26" s="385"/>
      <c r="C26" s="385"/>
      <c r="D26" s="385"/>
      <c r="E26" s="385"/>
      <c r="F26" s="385"/>
      <c r="G26" s="15">
        <v>145</v>
      </c>
      <c r="H26" s="16"/>
      <c r="I26" s="66">
        <f>SUM(I27:I28)</f>
        <v>445190</v>
      </c>
      <c r="J26" s="66">
        <f>SUM(J27:J28)</f>
        <v>322508</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v>445190</v>
      </c>
      <c r="J28" s="67">
        <v>322508</v>
      </c>
      <c r="L28" s="2" t="s">
        <v>1209</v>
      </c>
    </row>
    <row r="29" spans="1:12" s="2" customFormat="1" ht="14.25" customHeight="1">
      <c r="A29" s="385" t="s">
        <v>2496</v>
      </c>
      <c r="B29" s="385"/>
      <c r="C29" s="385"/>
      <c r="D29" s="385"/>
      <c r="E29" s="385"/>
      <c r="F29" s="385"/>
      <c r="G29" s="15">
        <v>148</v>
      </c>
      <c r="H29" s="16"/>
      <c r="I29" s="66">
        <f>SUM(I30:I35)</f>
        <v>161399</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v>161399</v>
      </c>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c r="I36" s="67">
        <v>920089</v>
      </c>
      <c r="J36" s="67">
        <v>188612</v>
      </c>
    </row>
    <row r="37" spans="1:10" s="2" customFormat="1" ht="14.25" customHeight="1">
      <c r="A37" s="387" t="s">
        <v>2497</v>
      </c>
      <c r="B37" s="387"/>
      <c r="C37" s="387"/>
      <c r="D37" s="387"/>
      <c r="E37" s="387"/>
      <c r="F37" s="387"/>
      <c r="G37" s="15">
        <v>156</v>
      </c>
      <c r="H37" s="16"/>
      <c r="I37" s="66">
        <f>SUM(I38:I47)</f>
        <v>104827</v>
      </c>
      <c r="J37" s="66">
        <f>SUM(J38:J47)</f>
        <v>158603</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98643</v>
      </c>
      <c r="J44" s="67">
        <v>137167</v>
      </c>
    </row>
    <row r="45" spans="1:10" s="2" customFormat="1" ht="14.25" customHeight="1">
      <c r="A45" s="385" t="s">
        <v>2961</v>
      </c>
      <c r="B45" s="385"/>
      <c r="C45" s="385"/>
      <c r="D45" s="385"/>
      <c r="E45" s="385"/>
      <c r="F45" s="385"/>
      <c r="G45" s="15">
        <v>164</v>
      </c>
      <c r="H45" s="16"/>
      <c r="I45" s="67">
        <v>6184</v>
      </c>
      <c r="J45" s="67">
        <v>21436</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479956</v>
      </c>
      <c r="J48" s="66">
        <f>SUM(J49:J55)</f>
        <v>848092</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401690</v>
      </c>
      <c r="J51" s="67">
        <v>645969</v>
      </c>
    </row>
    <row r="52" spans="1:10" s="2" customFormat="1" ht="14.25" customHeight="1">
      <c r="A52" s="413" t="s">
        <v>1090</v>
      </c>
      <c r="B52" s="413"/>
      <c r="C52" s="413"/>
      <c r="D52" s="413"/>
      <c r="E52" s="413"/>
      <c r="F52" s="413"/>
      <c r="G52" s="15">
        <v>171</v>
      </c>
      <c r="H52" s="16"/>
      <c r="I52" s="67">
        <v>78266</v>
      </c>
      <c r="J52" s="67">
        <v>202123</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60146486</v>
      </c>
      <c r="J60" s="66">
        <f>J8+J37+J56+J57</f>
        <v>62108459</v>
      </c>
    </row>
    <row r="61" spans="1:10" s="2" customFormat="1" ht="14.25" customHeight="1">
      <c r="A61" s="387" t="s">
        <v>2500</v>
      </c>
      <c r="B61" s="387"/>
      <c r="C61" s="387"/>
      <c r="D61" s="387"/>
      <c r="E61" s="387"/>
      <c r="F61" s="387"/>
      <c r="G61" s="15">
        <v>180</v>
      </c>
      <c r="H61" s="16"/>
      <c r="I61" s="66">
        <f>I14+I48+I58+I59</f>
        <v>59515567</v>
      </c>
      <c r="J61" s="66">
        <f>J14+J48+J58+J59</f>
        <v>61530885</v>
      </c>
    </row>
    <row r="62" spans="1:12" s="2" customFormat="1" ht="14.25" customHeight="1">
      <c r="A62" s="387" t="s">
        <v>2501</v>
      </c>
      <c r="B62" s="387"/>
      <c r="C62" s="387"/>
      <c r="D62" s="387"/>
      <c r="E62" s="387"/>
      <c r="F62" s="387"/>
      <c r="G62" s="15">
        <v>181</v>
      </c>
      <c r="H62" s="16"/>
      <c r="I62" s="66">
        <f>I60-I61</f>
        <v>630919</v>
      </c>
      <c r="J62" s="66">
        <f>J60-J61</f>
        <v>577574</v>
      </c>
      <c r="L62" s="2" t="s">
        <v>1209</v>
      </c>
    </row>
    <row r="63" spans="1:10" s="2" customFormat="1" ht="14.25" customHeight="1">
      <c r="A63" s="413" t="s">
        <v>2502</v>
      </c>
      <c r="B63" s="413"/>
      <c r="C63" s="413"/>
      <c r="D63" s="413"/>
      <c r="E63" s="413"/>
      <c r="F63" s="413"/>
      <c r="G63" s="15">
        <v>182</v>
      </c>
      <c r="H63" s="16"/>
      <c r="I63" s="66">
        <f>IF(I60&gt;I61,I60-I61,0)</f>
        <v>630919</v>
      </c>
      <c r="J63" s="66">
        <f>IF(J60&gt;J61,J60-J61,0)</f>
        <v>577574</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113565</v>
      </c>
      <c r="J65" s="67">
        <v>107282</v>
      </c>
      <c r="L65" s="2" t="s">
        <v>1209</v>
      </c>
    </row>
    <row r="66" spans="1:12" s="2" customFormat="1" ht="14.25" customHeight="1">
      <c r="A66" s="387" t="s">
        <v>2504</v>
      </c>
      <c r="B66" s="387"/>
      <c r="C66" s="387"/>
      <c r="D66" s="387"/>
      <c r="E66" s="387"/>
      <c r="F66" s="387"/>
      <c r="G66" s="15">
        <v>185</v>
      </c>
      <c r="H66" s="16"/>
      <c r="I66" s="66">
        <f>I62-I65</f>
        <v>517354</v>
      </c>
      <c r="J66" s="66">
        <f>J62-J65</f>
        <v>470292</v>
      </c>
      <c r="L66" s="2" t="s">
        <v>1209</v>
      </c>
    </row>
    <row r="67" spans="1:10" s="2" customFormat="1" ht="14.25" customHeight="1">
      <c r="A67" s="413" t="s">
        <v>2505</v>
      </c>
      <c r="B67" s="413"/>
      <c r="C67" s="413"/>
      <c r="D67" s="413"/>
      <c r="E67" s="413"/>
      <c r="F67" s="413"/>
      <c r="G67" s="15">
        <v>186</v>
      </c>
      <c r="H67" s="16"/>
      <c r="I67" s="66">
        <f>IF(I66&gt;0,I66,0)</f>
        <v>517354</v>
      </c>
      <c r="J67" s="66">
        <f>IF(J66&gt;0,J66,0)</f>
        <v>470292</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26" sqref="I26:J2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54189804734; Vodoopskrba i odvodnja Zagrebačke županije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54189804734; Vodoopskrba i odvodnja Zagrebačke županije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5" activePane="bottomLeft" state="frozen"/>
      <selection pane="topLeft" activeCell="A1" sqref="A1"/>
      <selection pane="bottomLeft" activeCell="J32" sqref="J32"/>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1</v>
      </c>
      <c r="R1" s="69" t="s">
        <v>792</v>
      </c>
    </row>
    <row r="2" spans="1:18" s="2" customFormat="1" ht="19.5" customHeight="1">
      <c r="A2" s="447" t="s">
        <v>1103</v>
      </c>
      <c r="B2" s="448"/>
      <c r="C2" s="448"/>
      <c r="D2" s="448"/>
      <c r="E2" s="448"/>
      <c r="F2" s="448"/>
      <c r="G2" s="448"/>
      <c r="H2" s="448"/>
      <c r="I2" s="449"/>
      <c r="J2" s="389" t="s">
        <v>1213</v>
      </c>
      <c r="Q2" s="70">
        <f>IF(OR(MIN(I8:I54)&lt;0,MAX(I8:I54)&gt;0),1,0)</f>
        <v>1</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1</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54189804734; Vodoopskrba i odvodnja Zagrebačke županije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v>67568195</v>
      </c>
      <c r="J9" s="90">
        <v>70528196</v>
      </c>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v>11307</v>
      </c>
      <c r="J11" s="73">
        <v>18297</v>
      </c>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v>613734</v>
      </c>
      <c r="J13" s="73">
        <v>593158</v>
      </c>
      <c r="L13" s="2" t="s">
        <v>2525</v>
      </c>
    </row>
    <row r="14" spans="1:12" s="2" customFormat="1" ht="13.5" customHeight="1">
      <c r="A14" s="408" t="s">
        <v>1712</v>
      </c>
      <c r="B14" s="385"/>
      <c r="C14" s="385"/>
      <c r="D14" s="385"/>
      <c r="E14" s="385"/>
      <c r="F14" s="385"/>
      <c r="G14" s="15">
        <v>6</v>
      </c>
      <c r="H14" s="19"/>
      <c r="I14" s="82">
        <f>SUM(I9:I13)</f>
        <v>68193236</v>
      </c>
      <c r="J14" s="82">
        <f>SUM(J9:J13)</f>
        <v>71139651</v>
      </c>
      <c r="L14" s="2" t="s">
        <v>2525</v>
      </c>
    </row>
    <row r="15" spans="1:12" s="2" customFormat="1" ht="13.5" customHeight="1">
      <c r="A15" s="385" t="s">
        <v>1713</v>
      </c>
      <c r="B15" s="385"/>
      <c r="C15" s="385"/>
      <c r="D15" s="385"/>
      <c r="E15" s="385"/>
      <c r="F15" s="385"/>
      <c r="G15" s="15">
        <v>7</v>
      </c>
      <c r="H15" s="19"/>
      <c r="I15" s="73">
        <v>-32081099</v>
      </c>
      <c r="J15" s="73">
        <v>-30838193</v>
      </c>
      <c r="L15" s="2" t="s">
        <v>1209</v>
      </c>
    </row>
    <row r="16" spans="1:12" s="2" customFormat="1" ht="13.5" customHeight="1">
      <c r="A16" s="385" t="s">
        <v>1714</v>
      </c>
      <c r="B16" s="385"/>
      <c r="C16" s="385"/>
      <c r="D16" s="385"/>
      <c r="E16" s="385"/>
      <c r="F16" s="385"/>
      <c r="G16" s="15">
        <v>8</v>
      </c>
      <c r="H16" s="19"/>
      <c r="I16" s="73">
        <v>-16587427</v>
      </c>
      <c r="J16" s="73">
        <v>-17552261</v>
      </c>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v>-97</v>
      </c>
      <c r="J18" s="73"/>
      <c r="L18" s="2" t="s">
        <v>1209</v>
      </c>
    </row>
    <row r="19" spans="1:12" s="2" customFormat="1" ht="13.5" customHeight="1">
      <c r="A19" s="385" t="s">
        <v>1717</v>
      </c>
      <c r="B19" s="385"/>
      <c r="C19" s="385"/>
      <c r="D19" s="385"/>
      <c r="E19" s="385"/>
      <c r="F19" s="385"/>
      <c r="G19" s="15">
        <v>11</v>
      </c>
      <c r="H19" s="19"/>
      <c r="I19" s="73">
        <v>-83589</v>
      </c>
      <c r="J19" s="73">
        <v>-275558</v>
      </c>
      <c r="L19" s="2" t="s">
        <v>1209</v>
      </c>
    </row>
    <row r="20" spans="1:12" s="2" customFormat="1" ht="13.5" customHeight="1">
      <c r="A20" s="385" t="s">
        <v>1706</v>
      </c>
      <c r="B20" s="385"/>
      <c r="C20" s="385"/>
      <c r="D20" s="385"/>
      <c r="E20" s="385"/>
      <c r="F20" s="385"/>
      <c r="G20" s="15">
        <v>12</v>
      </c>
      <c r="H20" s="19"/>
      <c r="I20" s="73">
        <v>-16072706</v>
      </c>
      <c r="J20" s="73">
        <v>-16186015</v>
      </c>
      <c r="L20" s="2" t="s">
        <v>1209</v>
      </c>
    </row>
    <row r="21" spans="1:12" s="2" customFormat="1" ht="13.5" customHeight="1">
      <c r="A21" s="408" t="s">
        <v>1718</v>
      </c>
      <c r="B21" s="408"/>
      <c r="C21" s="408"/>
      <c r="D21" s="408"/>
      <c r="E21" s="408"/>
      <c r="F21" s="408"/>
      <c r="G21" s="15">
        <v>13</v>
      </c>
      <c r="H21" s="19"/>
      <c r="I21" s="82">
        <f>SUM(I15:I20)</f>
        <v>-64824918</v>
      </c>
      <c r="J21" s="82">
        <f>SUM(J15:J20)</f>
        <v>-64852027</v>
      </c>
      <c r="L21" s="2" t="s">
        <v>1209</v>
      </c>
    </row>
    <row r="22" spans="1:10" s="2" customFormat="1" ht="15" customHeight="1">
      <c r="A22" s="459" t="s">
        <v>920</v>
      </c>
      <c r="B22" s="459"/>
      <c r="C22" s="459"/>
      <c r="D22" s="459"/>
      <c r="E22" s="459"/>
      <c r="F22" s="459"/>
      <c r="G22" s="17">
        <v>14</v>
      </c>
      <c r="H22" s="20"/>
      <c r="I22" s="83">
        <f>I14+I21</f>
        <v>3368318</v>
      </c>
      <c r="J22" s="83">
        <f>J14+J21</f>
        <v>6287624</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v>315873</v>
      </c>
      <c r="L28" s="2" t="s">
        <v>2525</v>
      </c>
    </row>
    <row r="29" spans="1:12" s="2" customFormat="1" ht="13.5" customHeight="1">
      <c r="A29" s="413" t="s">
        <v>1785</v>
      </c>
      <c r="B29" s="413"/>
      <c r="C29" s="413"/>
      <c r="D29" s="413"/>
      <c r="E29" s="413"/>
      <c r="F29" s="413"/>
      <c r="G29" s="15">
        <v>20</v>
      </c>
      <c r="H29" s="19"/>
      <c r="I29" s="73">
        <v>255656192</v>
      </c>
      <c r="J29" s="73">
        <v>190054362</v>
      </c>
      <c r="L29" s="2" t="s">
        <v>2525</v>
      </c>
    </row>
    <row r="30" spans="1:12" s="2" customFormat="1" ht="15" customHeight="1">
      <c r="A30" s="408" t="s">
        <v>1719</v>
      </c>
      <c r="B30" s="408"/>
      <c r="C30" s="408"/>
      <c r="D30" s="408"/>
      <c r="E30" s="408"/>
      <c r="F30" s="408"/>
      <c r="G30" s="15">
        <v>21</v>
      </c>
      <c r="H30" s="19"/>
      <c r="I30" s="82">
        <f>SUM(I24:I29)</f>
        <v>255656192</v>
      </c>
      <c r="J30" s="82">
        <f>SUM(J24:J29)</f>
        <v>190370235</v>
      </c>
      <c r="L30" s="2" t="s">
        <v>2525</v>
      </c>
    </row>
    <row r="31" spans="1:12" s="2" customFormat="1" ht="15" customHeight="1">
      <c r="A31" s="413" t="s">
        <v>2088</v>
      </c>
      <c r="B31" s="413"/>
      <c r="C31" s="413"/>
      <c r="D31" s="413"/>
      <c r="E31" s="413"/>
      <c r="F31" s="413"/>
      <c r="G31" s="15">
        <v>22</v>
      </c>
      <c r="H31" s="19"/>
      <c r="I31" s="73">
        <v>-272747745</v>
      </c>
      <c r="J31" s="73">
        <v>-206739252</v>
      </c>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v>-334457</v>
      </c>
      <c r="L35" s="2" t="s">
        <v>1209</v>
      </c>
    </row>
    <row r="36" spans="1:12" s="2" customFormat="1" ht="15" customHeight="1">
      <c r="A36" s="408" t="s">
        <v>1720</v>
      </c>
      <c r="B36" s="408"/>
      <c r="C36" s="408"/>
      <c r="D36" s="408"/>
      <c r="E36" s="408"/>
      <c r="F36" s="408"/>
      <c r="G36" s="15">
        <v>27</v>
      </c>
      <c r="H36" s="19"/>
      <c r="I36" s="82">
        <f>SUM(I31:I35)</f>
        <v>-272747745</v>
      </c>
      <c r="J36" s="82">
        <f>SUM(J31:J35)</f>
        <v>-207073709</v>
      </c>
      <c r="L36" s="2" t="s">
        <v>1209</v>
      </c>
    </row>
    <row r="37" spans="1:10" s="2" customFormat="1" ht="15" customHeight="1">
      <c r="A37" s="459" t="s">
        <v>1721</v>
      </c>
      <c r="B37" s="459"/>
      <c r="C37" s="459"/>
      <c r="D37" s="459"/>
      <c r="E37" s="459"/>
      <c r="F37" s="459"/>
      <c r="G37" s="17">
        <v>28</v>
      </c>
      <c r="H37" s="20"/>
      <c r="I37" s="83">
        <f>I30+I36</f>
        <v>-17091553</v>
      </c>
      <c r="J37" s="83">
        <f>J30+J36</f>
        <v>-16703474</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v>33808761</v>
      </c>
      <c r="J41" s="73">
        <v>7505092</v>
      </c>
      <c r="L41" s="2" t="s">
        <v>2525</v>
      </c>
    </row>
    <row r="42" spans="1:12" s="2" customFormat="1" ht="13.5" customHeight="1">
      <c r="A42" s="385" t="s">
        <v>2534</v>
      </c>
      <c r="B42" s="385"/>
      <c r="C42" s="385"/>
      <c r="D42" s="385"/>
      <c r="E42" s="385"/>
      <c r="F42" s="385"/>
      <c r="G42" s="15">
        <v>32</v>
      </c>
      <c r="H42" s="19"/>
      <c r="I42" s="73"/>
      <c r="J42" s="73">
        <v>18989</v>
      </c>
      <c r="L42" s="2" t="s">
        <v>2525</v>
      </c>
    </row>
    <row r="43" spans="1:12" s="2" customFormat="1" ht="15" customHeight="1">
      <c r="A43" s="408" t="s">
        <v>1722</v>
      </c>
      <c r="B43" s="408"/>
      <c r="C43" s="408"/>
      <c r="D43" s="408"/>
      <c r="E43" s="408"/>
      <c r="F43" s="408"/>
      <c r="G43" s="15">
        <v>33</v>
      </c>
      <c r="H43" s="19"/>
      <c r="I43" s="82">
        <f>SUM(I39:I42)</f>
        <v>33808761</v>
      </c>
      <c r="J43" s="82">
        <f>SUM(J39:J42)</f>
        <v>7524081</v>
      </c>
      <c r="L43" s="2" t="s">
        <v>2525</v>
      </c>
    </row>
    <row r="44" spans="1:12" s="2" customFormat="1" ht="25.5" customHeight="1">
      <c r="A44" s="385" t="s">
        <v>2535</v>
      </c>
      <c r="B44" s="385"/>
      <c r="C44" s="385"/>
      <c r="D44" s="385"/>
      <c r="E44" s="385"/>
      <c r="F44" s="385"/>
      <c r="G44" s="15">
        <v>34</v>
      </c>
      <c r="H44" s="19"/>
      <c r="I44" s="73">
        <v>-1212556</v>
      </c>
      <c r="J44" s="73">
        <v>-7024929</v>
      </c>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-1212556</v>
      </c>
      <c r="J49" s="82">
        <f>SUM(J44:J48)</f>
        <v>-7024929</v>
      </c>
      <c r="L49" s="2" t="s">
        <v>1209</v>
      </c>
    </row>
    <row r="50" spans="1:10" s="2" customFormat="1" ht="15" customHeight="1">
      <c r="A50" s="410" t="s">
        <v>1724</v>
      </c>
      <c r="B50" s="410"/>
      <c r="C50" s="410"/>
      <c r="D50" s="410"/>
      <c r="E50" s="410"/>
      <c r="F50" s="410"/>
      <c r="G50" s="15">
        <v>40</v>
      </c>
      <c r="H50" s="19"/>
      <c r="I50" s="82">
        <f>I43+I49</f>
        <v>32596205</v>
      </c>
      <c r="J50" s="82">
        <f>J43+J49</f>
        <v>499152</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18872970</v>
      </c>
      <c r="J52" s="82">
        <f>J22+J37+J50+J51</f>
        <v>-9916698</v>
      </c>
    </row>
    <row r="53" spans="1:12" s="2" customFormat="1" ht="13.5" customHeight="1">
      <c r="A53" s="410" t="s">
        <v>2810</v>
      </c>
      <c r="B53" s="410"/>
      <c r="C53" s="410"/>
      <c r="D53" s="410"/>
      <c r="E53" s="410"/>
      <c r="F53" s="410"/>
      <c r="G53" s="15">
        <v>43</v>
      </c>
      <c r="H53" s="19"/>
      <c r="I53" s="73">
        <v>20588108</v>
      </c>
      <c r="J53" s="73">
        <v>39461078</v>
      </c>
      <c r="L53" s="2" t="s">
        <v>2525</v>
      </c>
    </row>
    <row r="54" spans="1:12" s="2" customFormat="1" ht="13.5" customHeight="1">
      <c r="A54" s="459" t="s">
        <v>1726</v>
      </c>
      <c r="B54" s="459"/>
      <c r="C54" s="459"/>
      <c r="D54" s="459"/>
      <c r="E54" s="459"/>
      <c r="F54" s="459"/>
      <c r="G54" s="17">
        <v>44</v>
      </c>
      <c r="H54" s="20"/>
      <c r="I54" s="83">
        <f>I52+I53</f>
        <v>39461078</v>
      </c>
      <c r="J54" s="83">
        <f>J52+J53</f>
        <v>29544380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36" activePane="bottomLeft" state="frozen"/>
      <selection pane="topLeft" activeCell="A1" sqref="A1"/>
      <selection pane="bottomLeft" activeCell="W44" sqref="W44"/>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54189804734; Vodoopskrba i odvodnja Zagrebačke županije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1000000</v>
      </c>
      <c r="J10" s="21">
        <v>105138675</v>
      </c>
      <c r="K10" s="21">
        <v>8</v>
      </c>
      <c r="L10" s="21"/>
      <c r="M10" s="21"/>
      <c r="N10" s="21"/>
      <c r="O10" s="21"/>
      <c r="P10" s="21"/>
      <c r="Q10" s="21"/>
      <c r="R10" s="21"/>
      <c r="S10" s="21"/>
      <c r="T10" s="21"/>
      <c r="U10" s="21"/>
      <c r="V10" s="21">
        <v>-18887707</v>
      </c>
      <c r="W10" s="21">
        <v>568779</v>
      </c>
      <c r="X10" s="202">
        <f>SUM(I10:L10)-M10+SUM(N10:W10)</f>
        <v>87819755</v>
      </c>
      <c r="Y10" s="21"/>
      <c r="Z10" s="202">
        <f>Y10+X10</f>
        <v>87819755</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1000000</v>
      </c>
      <c r="J13" s="202">
        <f aca="true" t="shared" si="2" ref="J13:W13">SUM(J10:J12)</f>
        <v>105138675</v>
      </c>
      <c r="K13" s="202">
        <f t="shared" si="2"/>
        <v>8</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-18887707</v>
      </c>
      <c r="W13" s="202">
        <f t="shared" si="2"/>
        <v>568779</v>
      </c>
      <c r="X13" s="202">
        <f t="shared" si="0"/>
        <v>87819755</v>
      </c>
      <c r="Y13" s="202">
        <f>SUM(Y10:Y12)</f>
        <v>0</v>
      </c>
      <c r="Z13" s="202">
        <f t="shared" si="1"/>
        <v>87819755</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517354</v>
      </c>
      <c r="X14" s="202">
        <f t="shared" si="0"/>
        <v>517354</v>
      </c>
      <c r="Y14" s="21"/>
      <c r="Z14" s="202">
        <f t="shared" si="1"/>
        <v>517354</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v>568779</v>
      </c>
      <c r="W31" s="21">
        <v>-568779</v>
      </c>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1000000</v>
      </c>
      <c r="J33" s="201">
        <f aca="true" t="shared" si="3" ref="J33:W33">SUM(J13:J32)</f>
        <v>105138675</v>
      </c>
      <c r="K33" s="201">
        <f t="shared" si="3"/>
        <v>8</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-18318928</v>
      </c>
      <c r="W33" s="201">
        <f t="shared" si="3"/>
        <v>517354</v>
      </c>
      <c r="X33" s="201">
        <f t="shared" si="0"/>
        <v>88337109</v>
      </c>
      <c r="Y33" s="201">
        <f>SUM(Y13:Y32)</f>
        <v>0</v>
      </c>
      <c r="Z33" s="201">
        <f t="shared" si="1"/>
        <v>88337109</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1000000</v>
      </c>
      <c r="J39" s="21">
        <v>105138675</v>
      </c>
      <c r="K39" s="21">
        <v>8</v>
      </c>
      <c r="L39" s="21"/>
      <c r="M39" s="21"/>
      <c r="N39" s="21"/>
      <c r="O39" s="21"/>
      <c r="P39" s="21"/>
      <c r="Q39" s="21"/>
      <c r="R39" s="21"/>
      <c r="S39" s="21"/>
      <c r="T39" s="21"/>
      <c r="U39" s="21"/>
      <c r="V39" s="21">
        <v>-18318928</v>
      </c>
      <c r="W39" s="21">
        <v>517354</v>
      </c>
      <c r="X39" s="202">
        <f aca="true" t="shared" si="10" ref="X39:X62">SUM(I39:L39)-M39+SUM(N39:W39)</f>
        <v>88337109</v>
      </c>
      <c r="Y39" s="21"/>
      <c r="Z39" s="202">
        <f t="shared" si="1"/>
        <v>88337109</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1000000</v>
      </c>
      <c r="J42" s="202">
        <f t="shared" si="11"/>
        <v>105138675</v>
      </c>
      <c r="K42" s="202">
        <f t="shared" si="11"/>
        <v>8</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-18318928</v>
      </c>
      <c r="W42" s="202">
        <f t="shared" si="11"/>
        <v>517354</v>
      </c>
      <c r="X42" s="202">
        <f t="shared" si="10"/>
        <v>88337109</v>
      </c>
      <c r="Y42" s="202">
        <f>SUM(Y39:Y41)</f>
        <v>0</v>
      </c>
      <c r="Z42" s="202">
        <f>Y42+X42</f>
        <v>88337109</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470292</v>
      </c>
      <c r="X43" s="202">
        <f t="shared" si="10"/>
        <v>470292</v>
      </c>
      <c r="Y43" s="21"/>
      <c r="Z43" s="202">
        <f t="shared" si="1"/>
        <v>470292</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v>517354</v>
      </c>
      <c r="W60" s="21">
        <v>-517354</v>
      </c>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1000000</v>
      </c>
      <c r="J62" s="201">
        <f t="shared" si="12"/>
        <v>105138675</v>
      </c>
      <c r="K62" s="201">
        <f t="shared" si="12"/>
        <v>8</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-17801574</v>
      </c>
      <c r="W62" s="201">
        <f t="shared" si="12"/>
        <v>470292</v>
      </c>
      <c r="X62" s="201">
        <f t="shared" si="10"/>
        <v>88807401</v>
      </c>
      <c r="Y62" s="201">
        <f>SUM(Y42:Y61)</f>
        <v>0</v>
      </c>
      <c r="Z62" s="201">
        <f t="shared" si="1"/>
        <v>88807401</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600" verticalDpi="6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Martina Vozdecki</cp:lastModifiedBy>
  <cp:lastPrinted>2023-06-20T06:35:00Z</cp:lastPrinted>
  <dcterms:created xsi:type="dcterms:W3CDTF">2008-10-17T11:51:54Z</dcterms:created>
  <dcterms:modified xsi:type="dcterms:W3CDTF">2023-06-20T06:35:03Z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