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<sst xmlns="http://schemas.openxmlformats.org/spreadsheetml/2006/main" count="3663" uniqueCount="2966">
  <si>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</si>
  <si>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</si>
  <si>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</si>
  <si>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</si>
  <si>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</si>
  <si>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</si>
  <si>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</si>
  <si>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</si>
  <si>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</si>
  <si>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</si>
  <si>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</si>
  <si>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</si>
  <si>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</si>
  <si>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</si>
  <si>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</si>
  <si>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</si>
  <si>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</si>
  <si>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</si>
  <si>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</si>
  <si>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</si>
  <si>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</si>
  <si>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</si>
  <si>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</si>
  <si>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</si>
  <si>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</si>
  <si>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</si>
  <si>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</si>
  <si>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</si>
  <si>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</si>
  <si>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</si>
  <si>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</si>
  <si>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</si>
  <si>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</si>
  <si>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</si>
  <si>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</si>
  <si>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</si>
  <si>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</si>
  <si>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</si>
  <si>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</si>
  <si>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</si>
  <si>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</si>
  <si>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</si>
  <si>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</si>
  <si>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</si>
  <si>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</si>
  <si>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</si>
  <si>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</si>
  <si>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</si>
  <si>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</si>
  <si>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</si>
  <si>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</si>
  <si>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</si>
  <si>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</si>
  <si>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</si>
  <si>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</si>
  <si>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</si>
  <si>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</si>
  <si>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</si>
  <si>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</si>
  <si>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</si>
  <si>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</si>
  <si>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</si>
  <si>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</si>
  <si>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</si>
  <si>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</si>
  <si>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</si>
  <si>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</si>
  <si>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</si>
  <si>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</si>
  <si>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</si>
  <si>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</si>
  <si>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</si>
  <si>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</si>
  <si>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</si>
  <si>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</si>
  <si>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</si>
  <si>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</si>
  <si>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</si>
  <si>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</si>
  <si>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</si>
  <si>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</si>
  <si>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</si>
  <si>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</si>
  <si>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</si>
  <si>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</si>
  <si>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</si>
  <si>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</si>
  <si>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</si>
  <si>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</si>
  <si>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</si>
  <si>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</si>
  <si>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</si>
  <si>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</si>
  <si>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</si>
  <si>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</si>
  <si>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</si>
  <si>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</si>
  <si>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</si>
  <si>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</si>
  <si>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</si>
  <si>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</si>
  <si>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</si>
  <si>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</si>
  <si>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</si>
  <si>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</si>
  <si>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</si>
  <si>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</si>
  <si>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</si>
  <si>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</si>
  <si>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</si>
  <si>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</si>
  <si>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</si>
  <si>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</si>
  <si>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</si>
  <si>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</si>
  <si>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</si>
  <si>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</si>
  <si>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</si>
  <si>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</si>
  <si>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</si>
  <si>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</si>
  <si>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</si>
  <si>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</si>
  <si>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</si>
  <si>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</si>
  <si>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</si>
  <si>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</si>
  <si>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</si>
  <si>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</si>
  <si>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</si>
  <si>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</si>
  <si>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</si>
  <si>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</si>
  <si>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</si>
  <si>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</si>
  <si>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</si>
  <si>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</si>
  <si>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</si>
  <si>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</si>
  <si>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</si>
  <si>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</si>
  <si>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</si>
  <si>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</si>
  <si>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</si>
  <si>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</si>
  <si>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</si>
  <si>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</si>
  <si>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</si>
  <si>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</si>
  <si>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</si>
  <si>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</si>
  <si>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</si>
  <si>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</si>
  <si>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</si>
  <si>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</si>
  <si>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</si>
  <si>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</si>
  <si>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</si>
  <si>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</si>
  <si>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</si>
  <si>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</si>
  <si>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</si>
  <si>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</si>
  <si>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</si>
  <si>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</si>
  <si>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</si>
  <si>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</si>
  <si>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</si>
  <si>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</si>
  <si>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</si>
  <si>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</si>
  <si>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</si>
  <si>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</si>
  <si>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</si>
  <si>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</si>
  <si>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</si>
  <si>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</si>
  <si>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</si>
  <si>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</si>
  <si>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</si>
  <si>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</si>
  <si>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</si>
  <si>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</si>
  <si>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</si>
  <si>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</si>
  <si>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</si>
  <si>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</si>
  <si>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</si>
  <si>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</si>
  <si>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</si>
  <si>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</si>
  <si>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</si>
  <si>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</si>
  <si>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</si>
  <si>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</si>
  <si>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</si>
  <si>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</si>
  <si>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</si>
  <si>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</si>
  <si>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</si>
  <si>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</si>
  <si>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</si>
  <si>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</si>
  <si>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</si>
  <si>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</si>
  <si>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</si>
  <si>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</si>
  <si>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</si>
  <si>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</si>
  <si>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</si>
  <si>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</si>
  <si>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</si>
  <si>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</si>
  <si>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</si>
  <si>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</si>
  <si>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</si>
  <si>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</si>
  <si>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</si>
  <si>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</si>
  <si>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</si>
  <si>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</si>
  <si>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</si>
  <si>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</si>
  <si>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</si>
  <si>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</si>
  <si>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</si>
  <si>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</si>
  <si>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</si>
  <si>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</si>
  <si>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</si>
  <si>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</si>
  <si>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</si>
  <si>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</si>
  <si>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</si>
  <si>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</si>
  <si>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</si>
  <si>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</si>
  <si>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</si>
  <si>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</si>
  <si>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</si>
  <si>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</si>
  <si>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</si>
  <si>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</si>
  <si>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</si>
  <si>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</si>
  <si>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</si>
  <si>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</si>
  <si>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</si>
  <si>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</si>
  <si>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</si>
  <si>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</si>
  <si>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</si>
  <si>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</si>
  <si>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</si>
  <si>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</si>
  <si>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</si>
  <si>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</si>
  <si>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</si>
  <si>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</si>
  <si>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</si>
  <si>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</si>
  <si>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</si>
  <si>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</si>
  <si>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</si>
  <si>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</si>
  <si>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</si>
  <si>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</si>
  <si>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</si>
  <si>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</si>
  <si>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</si>
  <si>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</si>
  <si>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</si>
  <si>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</si>
  <si>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</si>
  <si>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</si>
  <si>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</si>
  <si>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</si>
  <si>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</si>
  <si>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</si>
  <si>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</si>
  <si>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</si>
  <si>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</si>
  <si>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</si>
  <si>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</si>
  <si>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</si>
  <si>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</si>
  <si>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</si>
  <si>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</si>
  <si>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</si>
  <si>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</si>
  <si>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</si>
  <si>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</si>
  <si>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</si>
  <si>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</si>
  <si>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</si>
  <si>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</si>
  <si>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</si>
  <si>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</si>
  <si>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</si>
  <si>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</si>
  <si>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</si>
  <si>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</si>
  <si>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</si>
  <si>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</si>
  <si>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</si>
  <si>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</si>
  <si>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</si>
  <si>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</si>
  <si>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</si>
  <si>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</si>
  <si>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</si>
  <si>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</si>
  <si>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</si>
  <si>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</si>
  <si>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</si>
  <si>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</si>
  <si>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</si>
  <si>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</si>
  <si>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</si>
  <si>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</si>
  <si>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</si>
  <si>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</si>
  <si>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</si>
  <si>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</si>
  <si>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</si>
  <si>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</si>
  <si>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</si>
  <si>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</si>
  <si>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</si>
  <si>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</si>
  <si>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</si>
  <si>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</si>
  <si>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</si>
  <si>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</si>
  <si>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</si>
  <si>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</si>
  <si>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</si>
  <si>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</si>
  <si>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</si>
  <si>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</si>
  <si>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</si>
  <si>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</si>
  <si>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</si>
  <si>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</si>
  <si>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</si>
  <si>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</si>
  <si>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</si>
  <si>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</si>
  <si>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</si>
  <si>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</si>
  <si>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</si>
  <si>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</si>
  <si>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</si>
  <si>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</si>
  <si>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</si>
  <si>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</si>
  <si>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</si>
  <si>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</si>
  <si>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</si>
  <si>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</si>
  <si>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</si>
  <si>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</si>
  <si>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</si>
  <si>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</si>
  <si>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</si>
  <si>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</si>
  <si>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</si>
  <si>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</si>
  <si>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</si>
  <si>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</si>
  <si>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</si>
  <si>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</si>
  <si>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</si>
  <si>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</si>
  <si>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</si>
  <si>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</si>
  <si>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</si>
  <si>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</si>
  <si>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</si>
  <si>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</si>
  <si>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</si>
  <si>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</si>
  <si>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</si>
  <si>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</si>
  <si>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</si>
  <si>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</si>
  <si>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</si>
  <si>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</si>
  <si>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</si>
  <si>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</si>
  <si>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</si>
  <si>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</si>
  <si>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</si>
  <si>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</si>
  <si>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</si>
  <si>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</si>
  <si>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</si>
  <si>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</si>
  <si>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</si>
  <si>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</si>
  <si>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</si>
  <si>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</si>
  <si>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</si>
  <si>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</si>
  <si>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</si>
  <si>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</si>
  <si>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</si>
  <si>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</si>
  <si>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</si>
  <si>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</si>
  <si>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</si>
  <si>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</si>
  <si>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</si>
  <si>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</si>
  <si>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</si>
  <si>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</si>
  <si>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</si>
  <si>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</si>
  <si>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</si>
  <si>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</si>
  <si>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</si>
  <si>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</si>
  <si>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</si>
  <si>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</si>
  <si>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</si>
  <si>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</si>
  <si>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</si>
  <si>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</si>
  <si>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</si>
  <si>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</si>
  <si>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</si>
  <si>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</si>
  <si>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</si>
  <si>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</si>
  <si>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</si>
  <si>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</si>
  <si>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</si>
  <si>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</si>
  <si>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</si>
  <si>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</si>
  <si>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</si>
  <si>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</si>
  <si>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</si>
  <si>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</si>
  <si>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</si>
  <si>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</si>
  <si>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</si>
  <si>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</si>
  <si>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</si>
  <si>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</si>
  <si>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</si>
  <si>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</si>
  <si>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</si>
  <si>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</si>
  <si>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</si>
  <si>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</si>
  <si>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</si>
  <si>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</si>
  <si>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</si>
  <si>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</si>
  <si>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</si>
  <si>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</si>
  <si>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</si>
  <si>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</si>
  <si>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</si>
  <si>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</si>
  <si>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</si>
  <si>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</si>
  <si>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</si>
  <si>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</si>
  <si>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</si>
  <si>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</si>
  <si>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</si>
  <si>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</si>
  <si>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</si>
  <si>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</si>
  <si>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</si>
  <si>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</si>
  <si>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</si>
  <si>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</si>
  <si>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</si>
  <si>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</si>
  <si>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</si>
  <si>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</si>
  <si>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</si>
  <si>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</si>
  <si>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</si>
  <si>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</si>
  <si>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</si>
  <si>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</si>
  <si>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</si>
  <si>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</si>
  <si>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</si>
  <si>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</si>
  <si>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</si>
  <si>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</si>
  <si>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</si>
  <si>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</si>
  <si>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</si>
  <si>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</si>
  <si>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</si>
  <si>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</si>
  <si>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</si>
  <si>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</si>
  <si>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</si>
  <si>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</si>
  <si>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</si>
  <si>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</si>
  <si>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</si>
  <si>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</si>
  <si>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</si>
  <si>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</si>
  <si>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</si>
  <si>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</si>
  <si>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</si>
  <si>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</si>
  <si>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</si>
  <si>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</si>
  <si>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</si>
  <si>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</si>
  <si>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</si>
  <si>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</si>
  <si>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</si>
  <si>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</si>
  <si>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</si>
  <si>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</si>
  <si>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</si>
  <si>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</si>
  <si>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</si>
  <si>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</si>
  <si>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</si>
  <si>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</si>
  <si>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</si>
  <si>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</si>
  <si>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</si>
  <si>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</si>
  <si>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</si>
  <si>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</si>
  <si>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</si>
  <si>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</si>
  <si>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</si>
  <si>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</si>
  <si>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</si>
  <si>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</si>
  <si>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</si>
  <si>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</si>
  <si>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</si>
  <si>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</si>
  <si>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</si>
  <si>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</si>
  <si>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</si>
  <si>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</si>
  <si>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</si>
  <si>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</si>
  <si>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</si>
  <si>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</si>
  <si>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</si>
  <si>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</si>
  <si>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</si>
  <si>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</si>
  <si>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</si>
  <si>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</si>
  <si>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</si>
  <si>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</si>
  <si>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</si>
  <si>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</si>
  <si>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</si>
  <si>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</si>
  <si>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</si>
  <si>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</si>
  <si>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</si>
  <si>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</si>
  <si>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</si>
  <si>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</si>
  <si>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</si>
  <si>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</si>
  <si>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</si>
  <si>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</si>
  <si>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</si>
  <si>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</si>
  <si>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</si>
  <si>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</si>
  <si>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</si>
  <si>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</si>
  <si>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</si>
  <si>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</si>
  <si>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</si>
  <si>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</si>
  <si>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</si>
  <si>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</si>
  <si>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</si>
  <si>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</si>
  <si>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</si>
  <si>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</si>
  <si>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</si>
  <si>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</si>
  <si>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</si>
  <si>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</si>
  <si>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</si>
  <si>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</si>
  <si>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</si>
  <si>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</si>
  <si>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</si>
  <si>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</si>
  <si>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</si>
  <si>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</si>
  <si>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</si>
  <si>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</si>
  <si>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</si>
  <si>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</si>
  <si>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</si>
  <si>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</si>
  <si>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</si>
  <si>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</si>
  <si>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</si>
  <si>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</si>
  <si>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</si>
  <si>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</si>
  <si>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</si>
  <si>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</si>
  <si>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</si>
  <si>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</si>
  <si>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</si>
  <si>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</si>
  <si>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</si>
  <si>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</si>
  <si>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</si>
  <si>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</si>
  <si>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</si>
  <si>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</si>
  <si>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</si>
  <si>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</si>
  <si>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</si>
  <si>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</si>
  <si>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</si>
  <si>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</si>
  <si>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</si>
  <si>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</si>
  <si>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</si>
  <si>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</si>
  <si>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</si>
  <si>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</si>
  <si>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</si>
  <si>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</si>
  <si>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</si>
  <si>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</si>
  <si>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</si>
  <si>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</si>
  <si>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</si>
  <si>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</si>
  <si>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</si>
  <si>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</si>
  <si>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</si>
  <si>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</si>
  <si>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</si>
  <si>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</si>
  <si>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</si>
  <si>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</si>
  <si>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</si>
  <si>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</si>
  <si>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</si>
  <si>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</si>
  <si>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</si>
  <si>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</si>
  <si>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</si>
  <si>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</si>
  <si>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</si>
  <si>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</si>
  <si>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</si>
  <si>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</si>
  <si>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</si>
  <si>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</si>
  <si>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</si>
  <si>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</si>
  <si>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</si>
  <si>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</si>
  <si>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</si>
  <si>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</si>
  <si>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</si>
  <si>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</si>
  <si>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</si>
  <si>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</si>
  <si>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</si>
  <si>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</si>
  <si>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</si>
  <si>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</si>
  <si>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</si>
  <si>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</si>
  <si>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</si>
  <si>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</si>
  <si>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</si>
  <si>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</si>
  <si>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</si>
  <si>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</si>
  <si>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</si>
  <si>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</si>
  <si>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</si>
  <si>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</si>
  <si>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</si>
  <si>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</si>
  <si>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</si>
  <si>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</si>
  <si>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</si>
  <si>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</si>
  <si>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</si>
  <si>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</si>
  <si>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</si>
  <si>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</si>
  <si>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</si>
  <si>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</si>
  <si>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</si>
  <si>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</si>
  <si>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</si>
  <si>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</si>
  <si>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</si>
  <si>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</si>
  <si>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</si>
  <si>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</si>
  <si>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</si>
  <si>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</si>
  <si>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</si>
  <si>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</si>
  <si>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</si>
  <si>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</si>
  <si>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</si>
  <si>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</si>
  <si>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</si>
  <si>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</si>
  <si>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</si>
  <si>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</si>
  <si>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</si>
  <si>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</si>
  <si>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</si>
  <si>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</si>
  <si>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</si>
  <si>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</si>
  <si>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</si>
  <si>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</si>
  <si>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</si>
  <si>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</si>
  <si>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</si>
  <si>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</si>
  <si>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</si>
  <si>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</si>
  <si>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</si>
  <si>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</si>
  <si>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</si>
  <si>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</si>
  <si>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</si>
  <si>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</si>
  <si>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</si>
  <si>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</si>
  <si>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</si>
  <si>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</si>
  <si>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</si>
  <si>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</si>
  <si>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</si>
  <si>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</si>
  <si>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</si>
  <si>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</si>
  <si>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</si>
  <si>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</si>
  <si>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</si>
  <si>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</si>
  <si>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</si>
  <si>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</si>
  <si>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</si>
  <si>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</si>
  <si>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</si>
  <si>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</si>
  <si>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</si>
  <si>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</si>
  <si>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</si>
  <si>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</si>
  <si>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</si>
  <si>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</si>
  <si>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</si>
  <si>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</si>
  <si>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</si>
  <si>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</si>
  <si>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</si>
  <si>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</si>
  <si>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</si>
  <si>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</si>
  <si>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</si>
  <si>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</si>
  <si>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</si>
  <si>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</si>
  <si>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</si>
  <si>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</si>
  <si>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</si>
  <si>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</si>
  <si>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</si>
  <si>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</si>
  <si>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</si>
  <si>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</si>
  <si>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</si>
  <si>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</si>
  <si>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</si>
  <si>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</si>
  <si>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</si>
  <si>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</si>
  <si>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</si>
  <si>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</si>
  <si>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</si>
  <si>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</si>
  <si>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</si>
  <si>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</si>
  <si>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</si>
  <si>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</si>
  <si>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</si>
  <si>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</si>
  <si>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</si>
  <si>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</si>
  <si>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</si>
  <si>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</si>
  <si>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</si>
  <si>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</si>
  <si>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</si>
  <si>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</si>
  <si>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</si>
  <si>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</si>
  <si>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</si>
  <si>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</si>
  <si>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</si>
  <si>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</si>
  <si>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</si>
  <si>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</si>
  <si>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</si>
  <si>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</si>
  <si>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</si>
  <si>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</si>
  <si>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</si>
  <si>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</si>
  <si>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</si>
  <si>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</si>
  <si>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</si>
  <si>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</si>
  <si>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</si>
  <si>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</si>
  <si>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</si>
  <si>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</si>
  <si>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</si>
  <si>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</si>
  <si>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</si>
  <si>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</si>
  <si>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</si>
  <si>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</si>
  <si>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</si>
  <si>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</si>
  <si>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</si>
  <si>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</si>
  <si>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</si>
  <si>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</si>
  <si>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</si>
  <si>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</si>
  <si>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</si>
  <si>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</si>
  <si>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</si>
  <si>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</si>
  <si>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</si>
  <si>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</si>
  <si>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</si>
  <si>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</si>
  <si>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</si>
  <si>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</si>
  <si>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</si>
  <si>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</si>
  <si>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</si>
  <si>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</si>
  <si>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</si>
  <si>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</si>
  <si>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</si>
  <si>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</si>
  <si>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</si>
  <si>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</si>
  <si>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</si>
  <si>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</si>
  <si>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</si>
  <si>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</si>
  <si>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</si>
  <si>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</si>
  <si>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</si>
  <si>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</si>
  <si>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</si>
  <si>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</si>
  <si>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</si>
  <si>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</si>
  <si>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</si>
  <si>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</si>
  <si>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</si>
  <si>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</si>
  <si>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</si>
  <si>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</si>
  <si>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</si>
  <si>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</si>
  <si>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</si>
  <si>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</si>
  <si>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</si>
  <si>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</si>
  <si>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</si>
  <si>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</si>
  <si>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</si>
  <si>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</si>
  <si>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</si>
  <si>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</si>
  <si>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</si>
  <si>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</si>
  <si>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</si>
  <si>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</si>
  <si>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</si>
  <si>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</si>
  <si>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</si>
  <si>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</si>
  <si>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</si>
  <si>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</si>
  <si>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</si>
  <si>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</si>
  <si>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</si>
  <si>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</si>
  <si>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</si>
  <si>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</si>
  <si>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</si>
  <si>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</si>
  <si>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</si>
  <si>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</si>
  <si>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</si>
  <si>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</si>
  <si>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</si>
  <si>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</si>
  <si>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</si>
  <si>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</si>
  <si>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</si>
  <si>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</si>
  <si>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</si>
  <si>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</si>
  <si>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</si>
  <si>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</si>
  <si>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</si>
  <si>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</si>
  <si>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</si>
  <si>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</si>
  <si>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</si>
  <si>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</si>
  <si>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</si>
  <si>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</si>
  <si>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</si>
  <si>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</si>
  <si>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</si>
  <si>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</si>
  <si>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</si>
  <si>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</si>
  <si>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</si>
  <si>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</si>
  <si>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</si>
  <si>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</si>
  <si>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</si>
  <si>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</si>
  <si>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</si>
  <si>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</si>
  <si>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</si>
  <si>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</si>
  <si>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</si>
  <si>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</si>
  <si>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</si>
  <si>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</si>
  <si>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</si>
  <si>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</si>
  <si>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</si>
  <si>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</si>
  <si>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</si>
  <si>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</si>
  <si>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</si>
  <si>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</si>
  <si>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</si>
  <si>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</si>
  <si>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</si>
  <si>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</si>
  <si>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</si>
  <si>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</si>
  <si>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</si>
  <si>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</si>
  <si>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</si>
  <si>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</si>
  <si>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</si>
  <si>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</si>
  <si>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</si>
  <si>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</si>
  <si>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</si>
  <si>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</si>
  <si>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</si>
  <si>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</si>
  <si>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</si>
  <si>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</si>
  <si>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</si>
  <si>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</si>
  <si>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</si>
  <si>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</si>
  <si>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</si>
  <si>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</si>
  <si>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</si>
  <si>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</si>
  <si>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</si>
  <si>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</si>
  <si>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</si>
  <si>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</si>
  <si>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</si>
  <si>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</si>
  <si>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</si>
  <si>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</si>
  <si>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</si>
  <si>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</si>
  <si>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</si>
  <si>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</si>
  <si>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</si>
  <si>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</si>
  <si>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</si>
  <si>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</si>
  <si>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</si>
  <si>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</si>
  <si>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</si>
  <si>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</si>
  <si>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</si>
  <si>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</si>
  <si>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</si>
  <si>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</si>
  <si>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</si>
  <si>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</si>
  <si>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</si>
  <si>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</si>
  <si>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</si>
  <si>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</si>
  <si>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</si>
  <si>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</si>
  <si>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</si>
  <si>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</si>
  <si>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</si>
  <si>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</si>
  <si>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</si>
  <si>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</si>
  <si>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</si>
  <si>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</si>
  <si>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</si>
  <si>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</si>
  <si>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</si>
  <si>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</si>
  <si>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</si>
  <si>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</si>
  <si>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</si>
  <si>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</si>
  <si>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</si>
  <si>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</si>
  <si>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</si>
  <si>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</si>
  <si>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</si>
  <si>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</si>
  <si>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</si>
  <si>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</si>
  <si>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</si>
  <si>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</si>
  <si>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</si>
  <si>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</si>
  <si>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</si>
  <si>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</si>
  <si>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</si>
  <si>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</si>
  <si>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</si>
  <si>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</si>
  <si>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</si>
  <si>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</si>
  <si>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</si>
  <si>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</si>
  <si>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</si>
  <si>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</si>
  <si>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</si>
  <si>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</si>
  <si>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</si>
  <si>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</si>
  <si>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</si>
  <si>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</si>
  <si>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</si>
  <si>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</si>
  <si>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</si>
  <si>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</si>
  <si>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</si>
  <si>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</si>
  <si>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</si>
  <si>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</si>
  <si>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</si>
  <si>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</si>
  <si>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</si>
  <si>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</si>
  <si>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</si>
  <si>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</si>
  <si>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</si>
  <si>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</si>
  <si>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</si>
  <si>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</si>
  <si>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</si>
  <si>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</si>
  <si>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</si>
  <si>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</si>
  <si>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</si>
  <si>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</si>
  <si>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</si>
  <si>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</si>
  <si>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</si>
  <si>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</si>
  <si>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</si>
  <si>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</si>
  <si>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</si>
  <si>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</si>
  <si>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</si>
  <si>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</si>
  <si>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</si>
  <si>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</si>
  <si>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</si>
  <si>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</si>
  <si>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</si>
  <si>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</si>
  <si>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</si>
  <si>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</si>
  <si>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</si>
  <si>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</si>
  <si>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</si>
  <si>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</si>
  <si>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</si>
  <si>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</si>
  <si>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</si>
  <si>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</si>
  <si>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</si>
  <si>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</si>
  <si>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</si>
  <si>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</si>
  <si>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</si>
  <si>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</si>
  <si>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</si>
  <si>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</si>
  <si>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</si>
  <si>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</si>
  <si>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</si>
  <si>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</si>
  <si>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</si>
  <si>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</si>
  <si>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</si>
  <si>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</si>
  <si>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</si>
  <si>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</si>
  <si>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</si>
  <si>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</si>
  <si>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</si>
  <si>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</si>
  <si>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</si>
  <si>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</si>
  <si>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</si>
  <si>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</si>
  <si>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</si>
  <si>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</si>
  <si>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</si>
  <si>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</si>
  <si>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</si>
  <si>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</si>
  <si>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</si>
  <si>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</si>
  <si>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</si>
  <si>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</si>
  <si>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</si>
  <si>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</si>
  <si>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</si>
  <si>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</si>
  <si>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</si>
  <si>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</si>
  <si>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</si>
  <si>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</si>
  <si>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</si>
  <si>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</si>
  <si>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</si>
  <si>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</si>
  <si>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</si>
  <si>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</si>
  <si>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</si>
  <si>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</si>
  <si>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</si>
  <si>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</si>
  <si>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</si>
  <si>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</si>
  <si>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</si>
  <si>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</si>
  <si>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</si>
  <si>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</si>
  <si>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</si>
  <si>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</si>
  <si>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</si>
  <si>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</si>
  <si>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</si>
  <si>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</si>
  <si>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</si>
  <si>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</si>
  <si>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</si>
  <si>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</si>
  <si>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</si>
  <si>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</si>
  <si>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</si>
  <si>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</si>
  <si>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</si>
  <si>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</si>
  <si>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</si>
  <si>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</si>
  <si>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</si>
  <si>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</si>
  <si>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</si>
  <si>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</si>
  <si>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</si>
  <si>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</si>
  <si>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</si>
  <si>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</si>
  <si>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</si>
  <si>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</si>
  <si>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</si>
  <si>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</si>
  <si>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</si>
  <si>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</si>
  <si>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</si>
  <si>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</si>
  <si>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</si>
  <si>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</si>
  <si>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</si>
  <si>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</si>
  <si>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</si>
  <si>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</si>
  <si>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</si>
  <si>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</si>
  <si>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</si>
  <si>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</si>
  <si>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</si>
  <si>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</si>
  <si>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</si>
  <si>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</si>
  <si>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</si>
  <si>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</si>
  <si>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</si>
  <si>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</si>
  <si>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</si>
  <si>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</si>
  <si>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</si>
  <si>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</si>
  <si>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</si>
  <si>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</si>
  <si>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</si>
  <si>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</si>
  <si>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</si>
  <si>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</si>
  <si>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</si>
  <si>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</si>
  <si>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</si>
  <si>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</si>
  <si>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</si>
  <si>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</si>
  <si>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</si>
  <si>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</si>
  <si>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</si>
  <si>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</si>
  <si>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</si>
  <si>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</si>
  <si>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</si>
  <si>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</si>
  <si>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</si>
  <si>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</si>
  <si>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</si>
  <si>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</si>
  <si>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</si>
  <si>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</si>
  <si>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</si>
  <si>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</si>
  <si>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</si>
  <si>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</si>
  <si>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</si>
  <si>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</si>
  <si>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</si>
  <si>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</si>
  <si>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</si>
  <si>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</si>
  <si>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</si>
  <si>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</si>
  <si>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</si>
  <si>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</si>
  <si>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</si>
  <si>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</si>
  <si>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</si>
  <si>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</si>
  <si>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</si>
  <si>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</si>
  <si>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</si>
  <si>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</si>
  <si>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</si>
  <si>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</si>
  <si>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</si>
  <si>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</si>
  <si>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</si>
  <si>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</si>
  <si>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</si>
  <si>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</si>
  <si>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</si>
  <si>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</si>
  <si>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</si>
  <si>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</si>
  <si>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</si>
  <si>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</si>
  <si>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</si>
  <si>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</si>
  <si>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</si>
  <si>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</si>
  <si>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</si>
  <si>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</si>
  <si>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</si>
  <si>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</si>
  <si>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</si>
  <si>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</si>
  <si>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</si>
  <si>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</si>
  <si>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</si>
  <si>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</si>
  <si>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</si>
  <si>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</si>
  <si>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</si>
  <si>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</si>
  <si>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</si>
  <si>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</si>
  <si>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</si>
  <si>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</si>
  <si>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</si>
  <si>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</si>
  <si>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</si>
  <si>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</si>
  <si>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</si>
  <si>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</si>
  <si>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</si>
  <si>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</si>
  <si>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</si>
  <si>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</si>
  <si>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</si>
  <si>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</si>
  <si>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</si>
  <si>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</si>
  <si>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</si>
  <si>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</si>
  <si>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</si>
  <si>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</si>
  <si>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</si>
  <si>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</si>
  <si>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</si>
  <si>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</si>
  <si>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</si>
  <si>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</si>
  <si>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</si>
  <si>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</si>
  <si>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</si>
  <si>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</si>
  <si>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</si>
  <si>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</si>
  <si>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</si>
  <si>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</si>
  <si>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</si>
  <si>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</si>
  <si>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</si>
  <si>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</si>
  <si>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</si>
  <si>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</si>
  <si>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</si>
  <si>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</si>
  <si>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</si>
  <si>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</si>
  <si>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</si>
  <si>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</si>
  <si>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</si>
  <si>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</si>
  <si>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</si>
  <si>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</si>
  <si>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</si>
  <si>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</si>
  <si>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</si>
  <si>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</si>
  <si>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</si>
  <si>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</si>
  <si>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</si>
  <si>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</si>
  <si>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</si>
  <si>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</si>
  <si>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</si>
  <si>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</si>
  <si>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</si>
  <si>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</si>
  <si>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</si>
  <si>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</si>
  <si>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</si>
  <si>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</si>
  <si>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</si>
  <si>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</si>
  <si>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</si>
  <si>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</si>
  <si>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</si>
  <si>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</si>
  <si>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</si>
  <si>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</si>
  <si>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</si>
  <si>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</si>
  <si>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</si>
  <si>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</si>
  <si>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</si>
  <si>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</si>
  <si>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</si>
  <si>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</si>
  <si>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</si>
  <si>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</si>
  <si>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</si>
  <si>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</si>
  <si>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</si>
  <si>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</si>
  <si>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</si>
  <si>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</si>
  <si>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</si>
  <si>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</si>
  <si>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</si>
  <si>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</si>
  <si>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</si>
  <si>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</si>
  <si>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</si>
  <si>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</si>
  <si>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</si>
  <si>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</si>
  <si>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</si>
  <si>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</si>
  <si>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</si>
  <si>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</si>
  <si>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</si>
  <si>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</si>
  <si>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</si>
  <si>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</si>
  <si>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</si>
  <si>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</si>
  <si>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</si>
  <si>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</si>
  <si>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</si>
  <si>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</si>
  <si>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</si>
  <si>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</si>
  <si>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</si>
  <si>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</si>
  <si>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</si>
  <si>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</si>
  <si>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</si>
  <si>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</si>
  <si>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</si>
  <si>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</si>
  <si>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</si>
  <si>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</si>
  <si>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</si>
  <si>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</si>
  <si>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</si>
  <si>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</si>
  <si>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</si>
  <si>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</si>
  <si>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</si>
  <si>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</si>
  <si>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</si>
  <si>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</si>
  <si>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</si>
  <si>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</si>
  <si>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</si>
  <si>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</si>
  <si>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</si>
  <si>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</si>
  <si>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</si>
  <si>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</si>
  <si>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</si>
  <si>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</si>
  <si>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</si>
  <si>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</si>
  <si>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</si>
  <si>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</si>
  <si>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</si>
  <si>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</si>
  <si>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</si>
  <si>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</si>
  <si>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</si>
  <si>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</si>
  <si>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</si>
  <si>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</si>
  <si>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</si>
  <si>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</si>
  <si>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</si>
  <si>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</si>
  <si>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</si>
  <si>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</si>
  <si>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</si>
  <si>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</si>
  <si>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</si>
  <si>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</si>
  <si>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</si>
  <si>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</si>
  <si>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</si>
  <si>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</si>
  <si>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</si>
  <si>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</si>
  <si>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</si>
  <si>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</si>
  <si>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</si>
  <si>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</si>
  <si>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</si>
  <si>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</si>
  <si>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</si>
  <si>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</si>
  <si>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</si>
  <si>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</si>
  <si>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</si>
  <si>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</si>
  <si>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</si>
  <si>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</si>
  <si>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</si>
  <si>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</si>
  <si>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</si>
  <si>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</si>
  <si>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</si>
  <si>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</si>
  <si>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</si>
  <si>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</si>
  <si>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</si>
  <si>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</si>
  <si>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</si>
  <si>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</si>
  <si>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</si>
  <si>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</si>
  <si>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</si>
  <si>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</si>
  <si>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</si>
  <si>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</si>
  <si>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</si>
  <si>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</si>
  <si>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</si>
  <si>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</si>
  <si>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</si>
  <si>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</si>
  <si>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</si>
  <si>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</si>
  <si>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</si>
  <si>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</si>
  <si>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</si>
  <si>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</si>
  <si>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</si>
  <si>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</si>
  <si>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</si>
  <si>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</si>
  <si>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</si>
  <si>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</si>
  <si>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</si>
  <si>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</si>
  <si>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</si>
  <si>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</si>
  <si>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</si>
  <si>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</si>
  <si>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</si>
  <si>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</si>
  <si>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</si>
  <si>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</si>
  <si>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</si>
  <si>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</si>
  <si>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</si>
  <si>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</si>
  <si>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</si>
  <si>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</si>
  <si>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</si>
  <si>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</si>
  <si>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</si>
  <si>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</si>
  <si>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</si>
  <si>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</si>
  <si>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</si>
  <si>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</si>
  <si>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</si>
  <si>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</si>
  <si>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</si>
  <si>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</si>
  <si>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</si>
  <si>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</si>
  <si>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</si>
  <si>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</si>
  <si>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</si>
  <si>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</si>
  <si>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</si>
  <si>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</si>
  <si>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</si>
  <si>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</si>
  <si>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</si>
  <si>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</si>
  <si>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</si>
  <si>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</si>
  <si>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</si>
  <si>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</si>
  <si>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</si>
  <si>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</si>
  <si>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</si>
  <si>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</si>
  <si>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</si>
  <si>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</si>
  <si>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</si>
  <si>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</si>
  <si>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</si>
  <si>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</si>
  <si>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</si>
  <si>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</si>
  <si>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</si>
  <si>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</si>
  <si>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</si>
  <si>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</si>
  <si>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</si>
  <si>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</si>
  <si>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</si>
  <si>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</si>
  <si>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</si>
  <si>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</si>
  <si>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</si>
  <si>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</si>
  <si>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</si>
  <si>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</si>
  <si>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</si>
  <si>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</si>
  <si>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</si>
  <si>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</si>
  <si>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</si>
  <si>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</si>
  <si>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</si>
  <si>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</si>
  <si>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</si>
  <si>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</si>
  <si>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</si>
  <si>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</si>
  <si>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</si>
  <si>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</si>
  <si>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</si>
  <si>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</si>
  <si>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</si>
  <si>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</si>
  <si>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</si>
  <si>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</si>
  <si>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</si>
  <si>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</si>
  <si>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</si>
  <si>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</si>
  <si>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</si>
  <si>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</si>
  <si>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</si>
  <si>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</si>
  <si>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</si>
  <si>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</si>
  <si>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</si>
  <si>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</si>
  <si>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</si>
  <si>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</si>
  <si>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</si>
  <si>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</si>
  <si>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</si>
  <si>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</si>
  <si>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</si>
  <si>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</si>
  <si>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</si>
  <si>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</si>
  <si>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</si>
  <si>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</si>
  <si>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</si>
  <si>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</si>
  <si>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</si>
  <si>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</si>
  <si>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</si>
  <si>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</si>
  <si>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</si>
  <si>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</si>
  <si>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</si>
  <si>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</si>
  <si>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</si>
  <si>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</si>
  <si>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</si>
  <si>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</si>
  <si>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</si>
  <si>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</si>
  <si>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</si>
  <si>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</si>
  <si>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</si>
  <si>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</si>
  <si>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</si>
  <si>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</si>
  <si>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</si>
  <si>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</si>
  <si>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</si>
  <si>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</si>
  <si>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</si>
  <si>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</si>
  <si>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</si>
  <si>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</si>
  <si>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</si>
  <si>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</si>
  <si>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</si>
  <si>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</si>
  <si>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</si>
  <si>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</si>
  <si>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</si>
  <si>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</si>
  <si>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</si>
  <si>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</si>
  <si>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</si>
  <si>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</si>
  <si>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</si>
  <si>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</si>
  <si>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</si>
  <si>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</si>
  <si>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</si>
  <si>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</si>
  <si>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</si>
  <si>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</si>
  <si>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</si>
  <si>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</si>
  <si>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</si>
  <si>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</si>
  <si>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</si>
  <si>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</si>
  <si>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</si>
  <si>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</si>
  <si>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</si>
  <si>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</si>
  <si>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</si>
  <si>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</si>
  <si>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</si>
  <si>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</si>
  <si>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</si>
  <si>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</si>
  <si>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</si>
  <si>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</si>
  <si>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</si>
  <si>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</si>
  <si>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</si>
  <si>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</si>
  <si>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</si>
  <si>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</si>
  <si>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</si>
  <si>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</si>
  <si>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</si>
  <si>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</si>
  <si>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</si>
  <si>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</si>
  <si>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</si>
  <si>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</si>
  <si>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</si>
  <si>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</si>
  <si>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</si>
  <si>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</si>
  <si>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</si>
  <si>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</si>
  <si>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</si>
  <si>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</si>
  <si>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</si>
  <si>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</si>
  <si>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</si>
  <si>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</si>
  <si>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</si>
  <si>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</si>
  <si>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</si>
  <si>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</si>
  <si>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</si>
  <si>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</si>
  <si>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</si>
  <si>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</si>
  <si>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</si>
  <si>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</si>
  <si>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</si>
  <si>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</si>
  <si>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</si>
  <si>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</si>
  <si>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</si>
  <si>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</si>
  <si>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</si>
  <si>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</si>
  <si>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</si>
  <si>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</si>
  <si>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</si>
  <si>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</si>
  <si>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</si>
  <si>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</si>
  <si>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</si>
  <si>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</si>
  <si>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</si>
  <si>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</si>
  <si>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</si>
  <si>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</si>
  <si>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</si>
  <si>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</si>
  <si>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</si>
  <si>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</si>
  <si>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</si>
  <si>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</si>
  <si>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</si>
  <si>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</si>
  <si>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</si>
  <si>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</si>
  <si>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</si>
  <si>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</si>
  <si>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</si>
  <si>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</si>
  <si>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</si>
  <si>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</si>
  <si>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</si>
  <si>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</si>
  <si>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</si>
  <si>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</si>
  <si>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</si>
  <si>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</si>
  <si>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</si>
  <si>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</si>
  <si>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</si>
  <si>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</si>
  <si>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</si>
  <si>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</si>
  <si>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</si>
  <si>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</si>
  <si>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</si>
  <si>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</si>
  <si>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</si>
  <si>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</si>
  <si>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</si>
  <si>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</si>
  <si>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</si>
  <si>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</si>
  <si>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</si>
  <si>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</si>
  <si>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</si>
  <si>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</si>
  <si>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</si>
  <si>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</si>
  <si>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</si>
  <si>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</si>
  <si>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</si>
  <si>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</si>
  <si>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</si>
  <si>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</si>
  <si>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</si>
  <si>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</si>
  <si>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</si>
  <si>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</si>
  <si>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</si>
  <si>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</si>
  <si>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</si>
  <si>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</si>
  <si>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</si>
  <si>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</si>
  <si>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</si>
  <si>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</si>
  <si>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</si>
  <si>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</si>
  <si>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</si>
  <si>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</si>
  <si>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</si>
  <si>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</si>
  <si>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</si>
  <si>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</si>
  <si>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</si>
  <si>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</si>
  <si>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</si>
  <si>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</si>
  <si>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</si>
  <si>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</si>
  <si>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</si>
  <si>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</si>
  <si>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</si>
  <si>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</si>
  <si>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</si>
  <si>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</si>
  <si>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</si>
  <si>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</si>
  <si>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</si>
  <si>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</si>
  <si>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</si>
  <si>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</si>
  <si>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</si>
  <si>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</si>
  <si>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</si>
  <si>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</si>
  <si>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</si>
  <si>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</si>
  <si>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</si>
  <si>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</si>
  <si>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</si>
  <si>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</si>
  <si>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</si>
  <si>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</si>
  <si>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</si>
  <si>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</si>
  <si>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</si>
  <si>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</si>
  <si>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</si>
  <si>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</si>
  <si>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</si>
  <si>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</si>
  <si>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</si>
  <si>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</si>
  <si>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</si>
  <si>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</si>
  <si>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</si>
  <si>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</si>
  <si>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</si>
  <si>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</si>
  <si>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</si>
  <si>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</si>
  <si>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</si>
  <si>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</si>
  <si>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</si>
  <si>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</si>
  <si>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</si>
  <si>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</si>
  <si>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</si>
  <si>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</si>
  <si>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</si>
  <si>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</si>
  <si>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</si>
  <si>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</si>
  <si>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</si>
  <si>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</si>
  <si>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</si>
  <si>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</si>
  <si>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</si>
  <si>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</si>
  <si>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</si>
  <si>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</si>
  <si>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</si>
  <si>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</si>
  <si>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</si>
  <si>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</si>
  <si>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</si>
  <si>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</si>
  <si>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</si>
  <si>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</si>
  <si>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</si>
  <si>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</si>
  <si>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</si>
  <si>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</si>
  <si>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</si>
  <si>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</si>
  <si>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</si>
  <si>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</si>
  <si>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</si>
  <si>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</si>
  <si>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</si>
  <si>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</si>
  <si>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</si>
  <si>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</si>
  <si>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</si>
  <si>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</si>
  <si>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</si>
  <si>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</si>
  <si>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</si>
  <si>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</si>
  <si>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</si>
  <si>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</si>
  <si>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</si>
  <si>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</si>
  <si>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</si>
  <si>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</si>
  <si>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</si>
  <si>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</si>
  <si>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</si>
  <si>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</si>
  <si>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</si>
  <si>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</si>
  <si>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</si>
  <si>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</si>
  <si>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</si>
  <si>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</si>
  <si>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</si>
  <si>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</si>
  <si>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</si>
  <si>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</si>
  <si>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</si>
  <si>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</si>
  <si>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</si>
  <si>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</si>
  <si>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</si>
  <si>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</si>
  <si>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</si>
  <si>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</si>
  <si>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</si>
  <si>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</si>
  <si>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</si>
  <si>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</si>
  <si>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</si>
  <si>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</si>
  <si>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</si>
  <si>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</si>
  <si>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</si>
  <si>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</si>
  <si>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</si>
  <si>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</si>
  <si>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</si>
  <si>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</si>
  <si>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</si>
  <si>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</si>
  <si>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</si>
  <si>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</si>
  <si>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</si>
  <si>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</si>
  <si>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</si>
  <si>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</si>
  <si>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</si>
  <si>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</si>
  <si>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</si>
  <si>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</si>
  <si>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</si>
  <si>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</si>
  <si>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</si>
  <si>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</si>
  <si>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</si>
  <si>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</si>
  <si>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</si>
  <si>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</si>
  <si>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</si>
  <si>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</si>
  <si>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</si>
  <si>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</si>
  <si>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</si>
  <si>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</si>
  <si>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</si>
  <si>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</si>
  <si>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</si>
  <si>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</si>
  <si>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</si>
  <si>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</si>
  <si>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</si>
  <si>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</si>
  <si>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</si>
  <si>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</si>
  <si>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</si>
  <si>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</si>
  <si>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</si>
  <si>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</si>
  <si>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</si>
  <si>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</si>
  <si>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</si>
  <si>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</si>
  <si>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</si>
  <si>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</si>
  <si>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</si>
  <si>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</si>
  <si>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</si>
  <si>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</si>
  <si>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</si>
  <si>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</si>
  <si>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</si>
  <si>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</si>
  <si>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</si>
  <si>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</si>
  <si>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</si>
  <si>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</si>
  <si>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</si>
  <si>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</si>
  <si>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</si>
  <si>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</si>
  <si>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</si>
  <si>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</si>
  <si>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</si>
  <si>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</si>
  <si>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</si>
  <si>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</si>
  <si>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</si>
  <si>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</si>
  <si>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</si>
  <si>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</si>
  <si>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</si>
  <si>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</si>
  <si>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</si>
  <si>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</si>
  <si>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</si>
  <si>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</si>
  <si>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</si>
  <si>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</si>
  <si>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</si>
  <si>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</si>
  <si>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</si>
  <si>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</si>
  <si>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</si>
  <si>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</si>
  <si>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</si>
  <si>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</si>
  <si>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</si>
  <si>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</si>
  <si>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</si>
  <si>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</si>
  <si>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</si>
  <si>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</si>
  <si>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</si>
  <si>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</si>
  <si>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</si>
  <si>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</si>
  <si>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</si>
  <si>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</si>
  <si>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</si>
  <si>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</si>
  <si>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</si>
  <si>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</si>
  <si>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</si>
  <si>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</si>
  <si>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</si>
  <si>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</si>
  <si>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</si>
  <si>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</si>
  <si>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</si>
  <si>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</si>
  <si>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</si>
  <si>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</si>
  <si>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</si>
  <si>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</si>
  <si>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</si>
  <si>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</si>
  <si>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</si>
  <si>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</si>
  <si>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</si>
  <si>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</si>
  <si>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</si>
  <si>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</si>
  <si>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</si>
  <si>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</si>
  <si>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</si>
  <si>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</si>
  <si>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</si>
  <si>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</si>
  <si>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</si>
  <si>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</si>
  <si>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</si>
  <si>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</si>
  <si>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</si>
  <si>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</si>
  <si>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</si>
  <si>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</si>
  <si>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</si>
  <si>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</si>
  <si>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</si>
  <si>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</si>
  <si>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</si>
  <si>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</si>
  <si>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</si>
  <si>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</si>
  <si>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</si>
  <si>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</si>
  <si>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</si>
  <si>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</si>
  <si>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</si>
  <si>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</si>
  <si>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</si>
  <si>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</si>
  <si>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</si>
  <si>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</si>
  <si>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</si>
  <si>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</si>
  <si>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</si>
  <si>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</si>
  <si>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</si>
  <si>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</si>
  <si>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</si>
  <si>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</si>
  <si>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</si>
  <si>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</si>
  <si>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</si>
  <si>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</si>
  <si>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</si>
  <si>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</si>
  <si>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</si>
  <si>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</si>
  <si>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</si>
  <si>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</si>
  <si>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</si>
  <si>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</si>
  <si>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</si>
  <si>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</si>
  <si>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</si>
  <si>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</si>
  <si>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</si>
  <si>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</si>
  <si>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</si>
  <si>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</si>
  <si>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</si>
  <si>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</si>
  <si>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</si>
  <si>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</si>
  <si>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</si>
  <si>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</si>
  <si>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</si>
  <si>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</si>
  <si>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</si>
  <si>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</si>
  <si>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</si>
  <si>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</si>
  <si>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</si>
  <si>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</si>
  <si>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</si>
  <si>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</si>
  <si>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</si>
  <si>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</si>
  <si>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</si>
  <si>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</si>
  <si>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</si>
  <si>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</si>
  <si>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</si>
  <si>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</si>
  <si>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</si>
  <si>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</si>
  <si>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</si>
  <si>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</si>
  <si>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</si>
  <si>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</si>
  <si>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</si>
  <si>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</si>
  <si>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</si>
  <si>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</si>
  <si>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</si>
  <si>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</si>
  <si>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</si>
  <si>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</si>
  <si>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</si>
  <si>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</si>
  <si>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</si>
  <si>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</si>
  <si>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</si>
  <si>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</si>
  <si>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</si>
  <si>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</si>
  <si>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</si>
  <si>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</si>
  <si>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</si>
  <si>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</si>
  <si>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</si>
  <si>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</si>
  <si>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</si>
  <si>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</si>
  <si>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</si>
  <si>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</si>
  <si>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</si>
  <si>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</si>
  <si>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</si>
  <si>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</si>
  <si>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</si>
  <si>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</si>
  <si>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</si>
  <si>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</si>
  <si>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</si>
  <si>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</si>
  <si>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</si>
  <si>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</si>
  <si>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</si>
  <si>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</si>
  <si>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</si>
  <si>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</si>
  <si>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</si>
  <si>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</si>
  <si>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</si>
  <si>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</si>
  <si>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</si>
  <si>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</si>
  <si>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</si>
  <si>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</si>
  <si>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</si>
  <si>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</si>
  <si>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</si>
  <si>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</si>
  <si>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</si>
  <si>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</si>
  <si>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</si>
  <si>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</si>
  <si>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</si>
  <si>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</si>
  <si>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</si>
  <si>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</si>
  <si>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</si>
  <si>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</si>
  <si>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</si>
  <si>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</si>
  <si>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</si>
  <si>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</si>
  <si>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</si>
  <si>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</si>
  <si>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</si>
  <si>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</si>
  <si>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</si>
  <si>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</si>
  <si>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</si>
  <si>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</si>
  <si>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</si>
  <si>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</si>
  <si>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</si>
  <si>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</si>
  <si>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</si>
  <si>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</si>
  <si>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</si>
  <si>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</si>
  <si>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</si>
  <si>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</si>
  <si>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</si>
  <si>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</si>
  <si>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</si>
  <si>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</si>
  <si>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</si>
  <si>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</si>
  <si>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</si>
  <si>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</si>
  <si>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</si>
  <si>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</si>
  <si>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</si>
  <si>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</si>
  <si>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</si>
  <si>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</si>
  <si>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</si>
  <si>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</si>
  <si>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</si>
  <si>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</si>
  <si>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</si>
  <si>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</si>
  <si>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</si>
  <si>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</si>
  <si>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</si>
  <si>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</si>
  <si>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</si>
  <si>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</si>
  <si>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</si>
  <si>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</si>
  <si>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</si>
  <si>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</si>
  <si>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</si>
  <si>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</si>
  <si>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</si>
  <si>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</si>
  <si>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</si>
  <si>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</si>
  <si>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</si>
  <si>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</si>
  <si>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</si>
  <si>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</si>
  <si>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</si>
  <si>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</si>
  <si>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</si>
  <si>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</si>
  <si>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</si>
  <si>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</si>
  <si>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</si>
  <si>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</si>
  <si>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</si>
  <si>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</si>
  <si>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</si>
  <si>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</si>
  <si>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</si>
  <si>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</si>
  <si>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</si>
  <si>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</si>
  <si>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</si>
  <si>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</si>
  <si>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</si>
  <si>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</si>
  <si>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</si>
  <si>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</si>
  <si>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</si>
  <si>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</si>
  <si>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</si>
  <si>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</si>
  <si>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</si>
  <si>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</si>
  <si>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</si>
  <si>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</si>
  <si>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</si>
  <si>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</si>
  <si>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</si>
  <si>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</si>
  <si>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</si>
  <si>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</si>
  <si>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</si>
  <si>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</si>
  <si>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</si>
  <si>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</si>
  <si>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</si>
  <si>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</si>
  <si>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</si>
  <si>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</si>
  <si>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</si>
  <si>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</si>
  <si>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</si>
  <si>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</si>
  <si>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</si>
  <si>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</si>
  <si>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</si>
  <si>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</si>
  <si>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</si>
  <si>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</si>
  <si>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</si>
  <si>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</si>
  <si>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</si>
  <si>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</si>
  <si>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</si>
  <si>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</si>
  <si>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</si>
  <si>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</si>
  <si>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</si>
  <si>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</si>
  <si>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</si>
  <si>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</si>
  <si>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</si>
  <si>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</si>
  <si>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</si>
  <si>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</si>
  <si>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</si>
  <si>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</si>
  <si>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</si>
  <si>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</si>
  <si>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</si>
  <si>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</si>
  <si>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</si>
  <si>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</si>
  <si>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</si>
  <si>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</si>
  <si>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</si>
  <si>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</si>
  <si>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</si>
  <si>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</si>
  <si>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</si>
  <si>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</si>
  <si>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</si>
  <si>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</si>
  <si>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</si>
  <si>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</si>
  <si>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</si>
  <si>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</si>
  <si>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</si>
  <si>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</si>
  <si>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</si>
  <si>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</si>
  <si>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</si>
  <si>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</si>
  <si>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</si>
  <si>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</si>
  <si>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</si>
  <si>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</si>
  <si>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</si>
  <si>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</si>
  <si>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</si>
  <si>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</si>
  <si>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</si>
  <si>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</si>
  <si>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</si>
  <si>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</si>
  <si>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</si>
  <si>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</si>
  <si>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</si>
  <si>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</si>
  <si>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</si>
  <si>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</si>
  <si>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</si>
  <si>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</si>
  <si>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</si>
  <si>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</si>
  <si>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</si>
  <si>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</si>
  <si>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</si>
  <si>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</si>
  <si>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</si>
  <si>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</si>
  <si>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</si>
  <si>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</si>
  <si>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</si>
  <si>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</si>
  <si>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</si>
  <si>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</si>
  <si>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</si>
  <si>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</si>
  <si>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</si>
  <si>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</si>
  <si>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</si>
  <si>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</si>
  <si>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</si>
  <si>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</si>
  <si>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</si>
  <si>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</si>
  <si>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</si>
  <si>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</si>
  <si>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</si>
  <si>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</si>
  <si>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</si>
  <si>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</si>
  <si>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</si>
  <si>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</si>
  <si>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</si>
  <si>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</si>
  <si>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</si>
  <si>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</si>
  <si>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</si>
  <si>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</si>
  <si>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</si>
  <si>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</si>
  <si>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</si>
  <si>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</si>
  <si>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</si>
  <si>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</si>
  <si>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</si>
  <si>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</si>
  <si>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</si>
  <si>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</si>
  <si>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</si>
  <si>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</si>
  <si>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</si>
  <si>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</si>
  <si>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</si>
  <si>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</si>
  <si>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</si>
  <si>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</si>
  <si>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</si>
  <si>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</si>
  <si>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</si>
  <si>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</si>
  <si>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</si>
  <si>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</si>
  <si>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</si>
  <si>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</si>
  <si>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</si>
  <si>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</si>
  <si>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</si>
  <si>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</si>
  <si>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</si>
  <si>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</si>
  <si>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</si>
  <si>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</si>
  <si>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</si>
  <si>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</si>
  <si>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</si>
  <si>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</si>
  <si>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</si>
  <si>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</si>
  <si>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</si>
  <si>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</si>
  <si>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</si>
  <si>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</si>
  <si>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</si>
  <si>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</si>
  <si>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</si>
  <si>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</si>
  <si>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</si>
  <si>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</si>
  <si>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</si>
  <si>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</si>
  <si>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</si>
  <si>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</si>
  <si>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</si>
  <si>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</si>
  <si>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</si>
  <si>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</si>
  <si>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</si>
  <si>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</si>
  <si>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</si>
  <si>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</si>
  <si>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</si>
  <si>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</si>
  <si>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</si>
  <si>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</si>
  <si>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</si>
  <si>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</si>
  <si>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</si>
  <si>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</si>
  <si>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</si>
  <si>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</si>
  <si>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</si>
  <si>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</si>
  <si>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</si>
  <si>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</si>
  <si>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</si>
  <si>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</si>
  <si>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</si>
  <si>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</si>
  <si>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</si>
  <si>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</si>
  <si>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</si>
  <si>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</si>
  <si>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</si>
  <si>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</si>
  <si>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</si>
  <si>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</si>
  <si>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</si>
  <si>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</si>
  <si>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</si>
  <si>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</si>
  <si>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</si>
  <si>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</si>
  <si>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</si>
  <si>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</si>
  <si>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</si>
  <si>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</si>
  <si>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</si>
  <si>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</si>
  <si>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</si>
  <si>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</si>
  <si>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</si>
  <si>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</si>
  <si>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</si>
  <si>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</si>
  <si>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</si>
  <si>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</si>
  <si>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</si>
  <si>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</si>
  <si>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</si>
  <si>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</si>
  <si>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</si>
  <si>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</si>
  <si>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</si>
  <si>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</si>
  <si>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</si>
  <si>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</si>
  <si>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</si>
  <si>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</si>
  <si>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</si>
  <si>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</si>
  <si>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</si>
  <si>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</si>
  <si>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</si>
  <si>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</si>
  <si>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</si>
  <si>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</si>
  <si>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</si>
  <si>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</si>
  <si>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</si>
  <si>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</si>
  <si>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</si>
  <si>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</si>
  <si>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</si>
  <si>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</si>
  <si>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</si>
  <si>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</si>
  <si>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</si>
  <si>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</si>
  <si>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</si>
  <si>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</si>
  <si>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</si>
  <si>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</si>
  <si>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</si>
  <si>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</si>
  <si>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</si>
  <si>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</si>
  <si>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</si>
  <si>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</si>
  <si>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</si>
  <si>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</si>
  <si>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</si>
  <si>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</si>
  <si>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</si>
  <si>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</si>
  <si>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</si>
  <si>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</si>
  <si>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</si>
  <si>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</si>
  <si>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</si>
  <si>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</si>
  <si>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</si>
  <si>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</si>
  <si>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</si>
  <si>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</si>
  <si>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</si>
  <si>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</si>
  <si>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</si>
  <si>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</si>
  <si>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</si>
  <si>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</si>
  <si>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</si>
  <si>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</si>
  <si>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</si>
  <si>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</si>
  <si>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</si>
  <si>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</si>
  <si>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</si>
  <si>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</si>
  <si>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</si>
  <si>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</si>
  <si>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</si>
  <si>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</si>
  <si>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</si>
  <si>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</si>
  <si>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</si>
  <si>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</si>
  <si>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</si>
  <si>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</si>
  <si>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</si>
  <si>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</si>
  <si>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</si>
  <si>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</si>
  <si>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</si>
  <si>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</si>
  <si>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</si>
  <si>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</si>
  <si>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</si>
  <si>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</si>
  <si>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</si>
  <si>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</si>
  <si>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</si>
  <si>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</si>
  <si>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</si>
  <si>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</si>
  <si>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</si>
  <si>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</si>
  <si>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</si>
  <si>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</si>
  <si>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</si>
  <si>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</si>
  <si>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</si>
  <si>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</si>
  <si>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</si>
  <si>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</si>
  <si>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</si>
  <si>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</si>
  <si>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</si>
  <si>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</si>
  <si>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</si>
  <si>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</si>
  <si>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</si>
  <si>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</si>
  <si>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</si>
  <si>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</si>
  <si>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</si>
  <si>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</si>
  <si>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</si>
  <si>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</si>
  <si>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</si>
  <si>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</si>
  <si>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</si>
  <si>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</si>
  <si>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</si>
  <si>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</si>
  <si>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</si>
  <si>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</si>
  <si>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</si>
  <si>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</si>
  <si>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</si>
  <si>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</si>
  <si>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</si>
  <si>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</si>
  <si>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</si>
  <si>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</si>
  <si>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</si>
  <si>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</si>
  <si>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</si>
  <si>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</si>
  <si>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</si>
  <si>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</si>
  <si>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</si>
  <si>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</si>
  <si>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</si>
  <si>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</si>
  <si>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</si>
  <si>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</si>
  <si>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</si>
  <si>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</si>
  <si>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</si>
  <si>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</si>
  <si>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</si>
  <si>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</si>
  <si>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</si>
  <si>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</si>
  <si>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</si>
  <si>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</si>
  <si>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</si>
  <si>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</si>
  <si>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</si>
  <si>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</si>
  <si>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</si>
  <si>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</si>
  <si>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</si>
  <si>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</si>
  <si>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</si>
  <si>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</si>
  <si>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</si>
  <si>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</si>
  <si>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</si>
  <si>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</si>
  <si>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</si>
  <si>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</si>
  <si>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</si>
  <si>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</si>
  <si>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</si>
  <si>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</si>
  <si>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</si>
  <si>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</si>
  <si>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</si>
  <si>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</si>
  <si>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</si>
  <si>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</si>
  <si>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</si>
  <si>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</si>
  <si>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</si>
  <si>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</si>
  <si>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</si>
  <si>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</si>
  <si>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</si>
  <si>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</si>
  <si>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</si>
  <si>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</si>
  <si>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</si>
  <si>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</si>
  <si>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</si>
  <si>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</si>
  <si>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</si>
  <si>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</si>
  <si>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</si>
  <si>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</si>
  <si>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</si>
  <si>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</si>
  <si>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</si>
  <si>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</si>
  <si>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</si>
  <si>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</si>
  <si>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</si>
  <si>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</si>
  <si>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</si>
  <si>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</si>
  <si>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</si>
  <si>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</si>
  <si>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</si>
  <si>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</si>
  <si>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</si>
  <si>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</si>
  <si>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</si>
  <si>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</si>
  <si>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</si>
  <si>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</si>
  <si>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</si>
  <si>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</si>
  <si>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</si>
  <si>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</si>
  <si>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</si>
  <si>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</si>
  <si>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</si>
  <si>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</si>
  <si>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</si>
  <si>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</si>
  <si>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</si>
  <si>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</si>
  <si>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</si>
  <si>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</si>
  <si>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</si>
  <si>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</si>
  <si>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</si>
  <si>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</si>
  <si>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</si>
  <si>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</si>
  <si>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</si>
  <si>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</si>
  <si>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</si>
  <si>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</si>
  <si>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</si>
  <si>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</si>
  <si>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</si>
  <si>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</si>
  <si>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</si>
  <si>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</si>
  <si>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</si>
  <si>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</si>
  <si>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</si>
  <si>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</si>
  <si>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</si>
  <si>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</si>
  <si>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</si>
  <si>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</si>
  <si>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</si>
  <si>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</si>
  <si>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</si>
  <si>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</si>
  <si>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</si>
  <si>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</si>
  <si>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</si>
  <si>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</si>
  <si>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</si>
  <si>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</si>
  <si>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</si>
  <si>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</si>
  <si>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</si>
  <si>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</si>
  <si>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</si>
  <si>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</si>
  <si>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</si>
  <si>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</si>
  <si>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</si>
  <si>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</si>
  <si>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</si>
  <si>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</si>
  <si>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</si>
  <si>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</si>
  <si>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</si>
  <si>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</si>
  <si>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</si>
  <si>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</si>
  <si>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</si>
  <si>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</si>
  <si>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</si>
  <si>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</si>
  <si>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</si>
  <si>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</si>
  <si>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</si>
  <si>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</si>
  <si>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</si>
  <si>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</si>
  <si>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</si>
  <si>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</si>
  <si>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</si>
  <si>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</si>
  <si>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</si>
  <si>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</si>
  <si>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</si>
  <si>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</si>
  <si>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</si>
  <si>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</si>
  <si>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</si>
  <si>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</si>
  <si>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</si>
  <si>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</si>
  <si>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</si>
  <si>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</si>
  <si>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</si>
  <si>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</si>
  <si>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</si>
  <si>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</si>
  <si>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</si>
  <si>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</si>
  <si>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</si>
  <si>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</si>
  <si>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</si>
  <si>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</si>
  <si>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</si>
  <si>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</si>
  <si>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</si>
  <si>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</si>
  <si>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</si>
  <si>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</si>
  <si>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</si>
  <si>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</si>
  <si>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</si>
  <si>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</si>
  <si>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</si>
  <si>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</si>
  <si>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</si>
  <si>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</si>
  <si>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</si>
  <si>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</si>
  <si>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</si>
  <si>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</si>
  <si>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</si>
  <si>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</si>
  <si>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</si>
  <si>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</si>
  <si>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</si>
  <si>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VODOOPSKRBA I ODVODNJA ZAGREBAČKE ŽUPANIJE d.o.o.</t>
  </si>
  <si>
    <t>ZAGREB</t>
  </si>
  <si>
    <t>KOLEDOVČINA ULICA 1</t>
  </si>
  <si>
    <t>martina.vozdecki@viozz.hr</t>
  </si>
  <si>
    <t>013942107</t>
  </si>
  <si>
    <t>MARTINA VOZDECKI</t>
  </si>
  <si>
    <t>013492107</t>
  </si>
  <si>
    <t>MASTEN TOMISLAV</t>
  </si>
  <si>
    <t>viozz@viozz</t>
  </si>
  <si>
    <t>54189804734</t>
  </si>
  <si>
    <t>02307731</t>
  </si>
  <si>
    <t>080631487</t>
  </si>
  <si>
    <t>10858279999</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</si>
</sst>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39461251.46</v>
      </c>
      <c r="I3" s="31">
        <f>ABS(ROUND(J3,0)-J3)+ABS(ROUND(K3,0)-K3)</f>
        <v>0</v>
      </c>
      <c r="J3" s="31">
        <f>Bilanca!I10</f>
        <v>661042149</v>
      </c>
      <c r="K3" s="31">
        <f>Bilanca!J10</f>
        <v>656010212</v>
      </c>
    </row>
    <row r="4" spans="1:11" ht="12.75">
      <c r="A4" s="4" t="s">
        <v>1088</v>
      </c>
      <c r="B4" s="29" t="s">
        <v>1888</v>
      </c>
      <c r="D4" s="4" t="s">
        <v>1521</v>
      </c>
      <c r="E4" s="4">
        <v>1</v>
      </c>
      <c r="F4" s="4">
        <f>Bilanca!G11</f>
        <v>3</v>
      </c>
      <c r="G4" s="4">
        <f>IF(Bilanca!H11=0,"",Bilanca!H11)</f>
      </c>
      <c r="H4" s="30">
        <f>J4/100*F4+2*K4/100*F4</f>
        <v>1120341.81</v>
      </c>
      <c r="I4" s="31">
        <f>ABS(ROUND(J4,0)-J4)+ABS(ROUND(K4,0)-K4)</f>
        <v>0</v>
      </c>
      <c r="J4" s="31">
        <f>Bilanca!I11</f>
        <v>9679485</v>
      </c>
      <c r="K4" s="31">
        <f>Bilanca!J11</f>
        <v>13832621</v>
      </c>
    </row>
    <row r="5" spans="1:11" ht="12.75">
      <c r="A5" s="4" t="s">
        <v>2361</v>
      </c>
      <c r="B5" s="29">
        <f>IF(ISNUMBER(RefStr!C17),RefStr!C17,0)</f>
        <v>10</v>
      </c>
      <c r="D5" s="4" t="s">
        <v>1521</v>
      </c>
      <c r="E5" s="4">
        <v>1</v>
      </c>
      <c r="F5" s="4">
        <f>Bilanca!G12</f>
        <v>4</v>
      </c>
      <c r="G5" s="4">
        <f>IF(Bilanca!H12=0,"",Bilanca!H12)</f>
      </c>
      <c r="H5" s="30">
        <f>J5/100*F5+2*K5/100*F5</f>
        <v>100843.08</v>
      </c>
      <c r="I5" s="31">
        <f>ABS(ROUND(J5,0)-J5)+ABS(ROUND(K5,0)-K5)</f>
        <v>0</v>
      </c>
      <c r="J5" s="31">
        <f>Bilanca!I12</f>
        <v>840359</v>
      </c>
      <c r="K5" s="31">
        <f>Bilanca!J12</f>
        <v>840359</v>
      </c>
    </row>
    <row r="6" spans="1:11" ht="12.75">
      <c r="A6" s="4" t="s">
        <v>2352</v>
      </c>
      <c r="B6" s="29" t="str">
        <f>RefStr!H27</f>
        <v>02307731</v>
      </c>
      <c r="D6" s="4" t="s">
        <v>1521</v>
      </c>
      <c r="E6" s="4">
        <v>1</v>
      </c>
      <c r="F6" s="4">
        <f>Bilanca!G13</f>
        <v>5</v>
      </c>
      <c r="G6" s="4">
        <f>IF(Bilanca!H13=0,"",Bilanca!H13)</f>
      </c>
      <c r="H6" s="30">
        <f aca="true" t="shared" si="0" ref="H6:H45">J6/100*F6+2*K6/100*F6</f>
        <v>47459.100000000006</v>
      </c>
      <c r="I6" s="31">
        <f aca="true" t="shared" si="1" ref="I6:I45">ABS(ROUND(J6,0)-J6)+ABS(ROUND(K6,0)-K6)</f>
        <v>0</v>
      </c>
      <c r="J6" s="31">
        <f>Bilanca!I13</f>
        <v>325844</v>
      </c>
      <c r="K6" s="31">
        <f>Bilanca!J13</f>
        <v>311669</v>
      </c>
    </row>
    <row r="7" spans="1:11" ht="12.75">
      <c r="A7" s="4" t="s">
        <v>2353</v>
      </c>
      <c r="B7" s="29" t="str">
        <f>RefStr!M27</f>
        <v>080631487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54189804734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I ODVODNJA ZAGREBAČKE ŽUPANIJE d.o.o.</v>
      </c>
      <c r="D9" s="4" t="s">
        <v>1521</v>
      </c>
      <c r="E9" s="4">
        <v>1</v>
      </c>
      <c r="F9" s="4">
        <f>Bilanca!G16</f>
        <v>8</v>
      </c>
      <c r="G9" s="4">
        <f>IF(Bilanca!H16=0,"",Bilanca!H16)</f>
      </c>
      <c r="H9" s="30">
        <f t="shared" si="0"/>
        <v>2709957.44</v>
      </c>
      <c r="I9" s="31">
        <f t="shared" si="1"/>
        <v>0</v>
      </c>
      <c r="J9" s="31">
        <f>Bilanca!I16</f>
        <v>8513282</v>
      </c>
      <c r="K9" s="31">
        <f>Bilanca!J16</f>
        <v>12680593</v>
      </c>
    </row>
    <row r="10" spans="1:11" ht="12.75">
      <c r="A10" s="4" t="s">
        <v>2355</v>
      </c>
      <c r="B10" s="29" t="str">
        <f>TEXT(RefStr!C31,"00000")</f>
        <v>10000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ZAGREB</v>
      </c>
      <c r="D11" s="4" t="s">
        <v>1521</v>
      </c>
      <c r="E11" s="4">
        <v>1</v>
      </c>
      <c r="F11" s="4">
        <f>Bilanca!G18</f>
        <v>10</v>
      </c>
      <c r="G11" s="4">
        <f>IF(Bilanca!H18=0,"",Bilanca!H18)</f>
      </c>
      <c r="H11" s="30">
        <f t="shared" si="0"/>
        <v>193530311.89999998</v>
      </c>
      <c r="I11" s="31">
        <f t="shared" si="1"/>
        <v>0</v>
      </c>
      <c r="J11" s="31">
        <f>Bilanca!I18</f>
        <v>651214807</v>
      </c>
      <c r="K11" s="31">
        <f>Bilanca!J18</f>
        <v>642044156</v>
      </c>
    </row>
    <row r="12" spans="1:11" ht="12.75">
      <c r="A12" s="4" t="s">
        <v>2357</v>
      </c>
      <c r="B12" s="29" t="str">
        <f>TRIM(RefStr!C33)</f>
        <v>KOLEDOVČINA ULICA 1</v>
      </c>
      <c r="D12" s="4" t="s">
        <v>1521</v>
      </c>
      <c r="E12" s="4">
        <v>1</v>
      </c>
      <c r="F12" s="4">
        <f>Bilanca!G19</f>
        <v>11</v>
      </c>
      <c r="G12" s="4">
        <f>IF(Bilanca!H19=0,"",Bilanca!H19)</f>
      </c>
      <c r="H12" s="30">
        <f t="shared" si="0"/>
        <v>7895422.039999999</v>
      </c>
      <c r="I12" s="31">
        <f t="shared" si="1"/>
        <v>0</v>
      </c>
      <c r="J12" s="31">
        <f>Bilanca!I19</f>
        <v>23743396</v>
      </c>
      <c r="K12" s="31">
        <f>Bilanca!J19</f>
        <v>24016584</v>
      </c>
    </row>
    <row r="13" spans="1:11" ht="12.75">
      <c r="A13" s="4" t="s">
        <v>1193</v>
      </c>
      <c r="B13" s="29" t="str">
        <f>TRIM(RefStr!C35)</f>
        <v>martina.vozdecki@viozz.hr</v>
      </c>
      <c r="D13" s="4" t="s">
        <v>1521</v>
      </c>
      <c r="E13" s="4">
        <v>1</v>
      </c>
      <c r="F13" s="4">
        <f>Bilanca!G20</f>
        <v>12</v>
      </c>
      <c r="G13" s="4">
        <f>IF(Bilanca!H20=0,"",Bilanca!H20)</f>
      </c>
      <c r="H13" s="30">
        <f t="shared" si="0"/>
        <v>183905835.72</v>
      </c>
      <c r="I13" s="31">
        <f t="shared" si="1"/>
        <v>0</v>
      </c>
      <c r="J13" s="31">
        <f>Bilanca!I20</f>
        <v>507713207</v>
      </c>
      <c r="K13" s="31">
        <f>Bilanca!J20</f>
        <v>512417712</v>
      </c>
    </row>
    <row r="14" spans="1:11" ht="12.75">
      <c r="A14" s="4" t="s">
        <v>1194</v>
      </c>
      <c r="B14" s="29" t="str">
        <f>TRIM(RefStr!C37)</f>
        <v>viozz@viozz</v>
      </c>
      <c r="D14" s="4" t="s">
        <v>1521</v>
      </c>
      <c r="E14" s="4">
        <v>1</v>
      </c>
      <c r="F14" s="4">
        <f>Bilanca!G21</f>
        <v>13</v>
      </c>
      <c r="G14" s="4">
        <f>IF(Bilanca!H21=0,"",Bilanca!H21)</f>
      </c>
      <c r="H14" s="30">
        <f t="shared" si="0"/>
        <v>1723794.02</v>
      </c>
      <c r="I14" s="31">
        <f t="shared" si="1"/>
        <v>0</v>
      </c>
      <c r="J14" s="31">
        <f>Bilanca!I21</f>
        <v>5600964</v>
      </c>
      <c r="K14" s="31">
        <f>Bilanca!J21</f>
        <v>3829495</v>
      </c>
    </row>
    <row r="15" spans="1:11" ht="12.75">
      <c r="A15" s="4" t="s">
        <v>2360</v>
      </c>
      <c r="B15" s="29" t="str">
        <f>TEXT(RefStr!J39,"00")</f>
        <v>21</v>
      </c>
      <c r="D15" s="4" t="s">
        <v>1521</v>
      </c>
      <c r="E15" s="4">
        <v>1</v>
      </c>
      <c r="F15" s="4">
        <f>Bilanca!G22</f>
        <v>14</v>
      </c>
      <c r="G15" s="4">
        <f>IF(Bilanca!H22=0,"",Bilanca!H22)</f>
      </c>
      <c r="H15" s="30">
        <f t="shared" si="0"/>
        <v>1155342.44</v>
      </c>
      <c r="I15" s="31">
        <f t="shared" si="1"/>
        <v>0</v>
      </c>
      <c r="J15" s="31">
        <f>Bilanca!I22</f>
        <v>1258366</v>
      </c>
      <c r="K15" s="31">
        <f>Bilanca!J22</f>
        <v>3497040</v>
      </c>
    </row>
    <row r="16" spans="1:11" ht="12.75">
      <c r="A16" s="4" t="s">
        <v>2359</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155634.88</v>
      </c>
      <c r="I17" s="31">
        <f t="shared" si="1"/>
        <v>0</v>
      </c>
      <c r="J17" s="31">
        <f>Bilanca!I24</f>
        <v>306976</v>
      </c>
      <c r="K17" s="31">
        <f>Bilanca!J24</f>
        <v>332871</v>
      </c>
    </row>
    <row r="18" spans="1:11" ht="12.75">
      <c r="A18" s="4" t="s">
        <v>1195</v>
      </c>
      <c r="B18" s="29" t="str">
        <f>IF(RefStr!C21&lt;&gt;"",RefStr!C21,"")</f>
        <v>NE</v>
      </c>
      <c r="D18" s="4" t="s">
        <v>1521</v>
      </c>
      <c r="E18" s="4">
        <v>1</v>
      </c>
      <c r="F18" s="4">
        <f>Bilanca!G25</f>
        <v>17</v>
      </c>
      <c r="G18" s="4">
        <f>IF(Bilanca!H25=0,"",Bilanca!H25)</f>
      </c>
      <c r="H18" s="30">
        <f t="shared" si="0"/>
        <v>41052865.82</v>
      </c>
      <c r="I18" s="31">
        <f t="shared" si="1"/>
        <v>0</v>
      </c>
      <c r="J18" s="31">
        <f>Bilanca!I25</f>
        <v>90269198</v>
      </c>
      <c r="K18" s="31">
        <f>Bilanca!J25</f>
        <v>75609124</v>
      </c>
    </row>
    <row r="19" spans="1:11" ht="12.75">
      <c r="A19" s="4" t="s">
        <v>1196</v>
      </c>
      <c r="B19" s="29" t="str">
        <f>IF(RefStr!I21&lt;&gt;"",RefStr!I21,"")</f>
        <v>DA</v>
      </c>
      <c r="D19" s="4" t="s">
        <v>1521</v>
      </c>
      <c r="E19" s="4">
        <v>1</v>
      </c>
      <c r="F19" s="4">
        <f>Bilanca!G26</f>
        <v>18</v>
      </c>
      <c r="G19" s="4">
        <f>IF(Bilanca!H26=0,"",Bilanca!H26)</f>
      </c>
      <c r="H19" s="30">
        <f t="shared" si="0"/>
        <v>39697.56</v>
      </c>
      <c r="I19" s="31">
        <f t="shared" si="1"/>
        <v>0</v>
      </c>
      <c r="J19" s="31">
        <f>Bilanca!I26</f>
        <v>61094</v>
      </c>
      <c r="K19" s="31">
        <f>Bilanca!J26</f>
        <v>79724</v>
      </c>
    </row>
    <row r="20" spans="1:11" ht="12.75">
      <c r="A20" s="4" t="s">
        <v>1197</v>
      </c>
      <c r="B20" s="29">
        <f>RefStr!C19</f>
        <v>2</v>
      </c>
      <c r="D20" s="4" t="s">
        <v>1521</v>
      </c>
      <c r="E20" s="4">
        <v>1</v>
      </c>
      <c r="F20" s="4">
        <f>Bilanca!G27</f>
        <v>19</v>
      </c>
      <c r="G20" s="4">
        <f>IF(Bilanca!H27=0,"",Bilanca!H27)</f>
      </c>
      <c r="H20" s="30">
        <f t="shared" si="0"/>
        <v>12689115.419999998</v>
      </c>
      <c r="I20" s="31">
        <f t="shared" si="1"/>
        <v>0</v>
      </c>
      <c r="J20" s="31">
        <f>Bilanca!I27</f>
        <v>22261606</v>
      </c>
      <c r="K20" s="31">
        <f>Bilanca!J27</f>
        <v>22261606</v>
      </c>
    </row>
    <row r="21" spans="1:11" ht="12.75">
      <c r="A21" s="4" t="s">
        <v>1198</v>
      </c>
      <c r="B21" s="29">
        <f>IF(RefStr!C50&gt;0,IF(RefStr!C50=1,4,RefStr!C50-1),RefStr!C50)</f>
        <v>2</v>
      </c>
      <c r="D21" s="4" t="s">
        <v>1521</v>
      </c>
      <c r="E21" s="4">
        <v>1</v>
      </c>
      <c r="F21" s="4">
        <f>Bilanca!G28</f>
        <v>20</v>
      </c>
      <c r="G21" s="4">
        <f>IF(Bilanca!H28=0,"",Bilanca!H28)</f>
      </c>
      <c r="H21" s="30">
        <f t="shared" si="0"/>
        <v>82945.4</v>
      </c>
      <c r="I21" s="31">
        <f t="shared" si="1"/>
        <v>0</v>
      </c>
      <c r="J21" s="31">
        <f>Bilanca!I28</f>
        <v>147857</v>
      </c>
      <c r="K21" s="31">
        <f>Bilanca!J28</f>
        <v>133435</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115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119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114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119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116123.56</v>
      </c>
      <c r="I29" s="31">
        <f t="shared" si="1"/>
        <v>0</v>
      </c>
      <c r="J29" s="31">
        <f>Bilanca!I36</f>
        <v>147857</v>
      </c>
      <c r="K29" s="31">
        <f>Bilanca!J36</f>
        <v>133435</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45371777.62</v>
      </c>
      <c r="I38" s="31">
        <f t="shared" si="1"/>
        <v>0</v>
      </c>
      <c r="J38" s="31">
        <f>Bilanca!I45</f>
        <v>42809204</v>
      </c>
      <c r="K38" s="31">
        <f>Bilanca!J45</f>
        <v>39908611</v>
      </c>
    </row>
    <row r="39" spans="1:11" ht="12.75">
      <c r="A39" s="4" t="s">
        <v>1216</v>
      </c>
      <c r="B39" s="29" t="str">
        <f>RefStr!C68</f>
        <v>MARTINA VOZDECKI</v>
      </c>
      <c r="D39" s="4" t="s">
        <v>1521</v>
      </c>
      <c r="E39" s="4">
        <v>1</v>
      </c>
      <c r="F39" s="4">
        <f>Bilanca!G46</f>
        <v>38</v>
      </c>
      <c r="G39" s="4">
        <f>IF(Bilanca!H46=0,"",Bilanca!H46)</f>
      </c>
      <c r="H39" s="30">
        <f t="shared" si="0"/>
        <v>2518289.64</v>
      </c>
      <c r="I39" s="31">
        <f t="shared" si="1"/>
        <v>0</v>
      </c>
      <c r="J39" s="31">
        <f>Bilanca!I46</f>
        <v>1991688</v>
      </c>
      <c r="K39" s="31">
        <f>Bilanca!J46</f>
        <v>2317695</v>
      </c>
    </row>
    <row r="40" spans="1:11" ht="12.75">
      <c r="A40" s="4" t="s">
        <v>1217</v>
      </c>
      <c r="B40" s="29" t="str">
        <f>TRIM(RefStr!C70)</f>
        <v>013492107</v>
      </c>
      <c r="D40" s="4" t="s">
        <v>1521</v>
      </c>
      <c r="E40" s="4">
        <v>1</v>
      </c>
      <c r="F40" s="4">
        <f>Bilanca!G47</f>
        <v>39</v>
      </c>
      <c r="G40" s="4">
        <f>IF(Bilanca!H47=0,"",Bilanca!H47)</f>
      </c>
      <c r="H40" s="30">
        <f t="shared" si="0"/>
        <v>2584560.42</v>
      </c>
      <c r="I40" s="31">
        <f t="shared" si="1"/>
        <v>0</v>
      </c>
      <c r="J40" s="31">
        <f>Bilanca!I47</f>
        <v>1991688</v>
      </c>
      <c r="K40" s="31">
        <f>Bilanca!J47</f>
        <v>2317695</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martina.vozdecki@viozz.hr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MASTEN TOMISLAV</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23140554.839999996</v>
      </c>
      <c r="I47" s="31">
        <f t="shared" si="3"/>
        <v>0</v>
      </c>
      <c r="J47" s="31">
        <f>Bilanca!I54</f>
        <v>22274430</v>
      </c>
      <c r="K47" s="31">
        <f>Bilanca!J54</f>
        <v>14015562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f>IF(Bilanca!H57=0,"",Bilanca!H57)</f>
      </c>
      <c r="H50" s="30">
        <f t="shared" si="2"/>
        <v>18955041.42</v>
      </c>
      <c r="I50" s="31">
        <f t="shared" si="3"/>
        <v>0</v>
      </c>
      <c r="J50" s="31">
        <f>Bilanca!I57</f>
        <v>14660748</v>
      </c>
      <c r="K50" s="31">
        <f>Bilanca!J57</f>
        <v>12011505</v>
      </c>
    </row>
    <row r="51" spans="1:11" ht="12.75">
      <c r="A51" s="4" t="s">
        <v>288</v>
      </c>
      <c r="B51" s="29" t="str">
        <f>RefStr!I60</f>
        <v>DA</v>
      </c>
      <c r="D51" s="4" t="s">
        <v>1521</v>
      </c>
      <c r="E51" s="4">
        <v>1</v>
      </c>
      <c r="F51" s="4">
        <f>Bilanca!G58</f>
        <v>50</v>
      </c>
      <c r="G51" s="4">
        <f>IF(Bilanca!H58=0,"",Bilanca!H58)</f>
      </c>
      <c r="H51" s="30">
        <f t="shared" si="2"/>
        <v>474</v>
      </c>
      <c r="I51" s="31">
        <f t="shared" si="3"/>
        <v>0</v>
      </c>
      <c r="J51" s="31">
        <f>Bilanca!I58</f>
        <v>316</v>
      </c>
      <c r="K51" s="31">
        <f>Bilanca!J58</f>
        <v>316</v>
      </c>
    </row>
    <row r="52" spans="1:11" ht="12.75">
      <c r="A52" s="4" t="s">
        <v>1219</v>
      </c>
      <c r="B52" s="29" t="s">
        <v>2619</v>
      </c>
      <c r="D52" s="4" t="s">
        <v>1521</v>
      </c>
      <c r="E52" s="4">
        <v>1</v>
      </c>
      <c r="F52" s="4">
        <f>Bilanca!G59</f>
        <v>51</v>
      </c>
      <c r="G52" s="4">
        <f>IF(Bilanca!H59=0,"",Bilanca!H59)</f>
      </c>
      <c r="H52" s="30">
        <f t="shared" si="2"/>
        <v>523721.55</v>
      </c>
      <c r="I52" s="31">
        <f t="shared" si="3"/>
        <v>0</v>
      </c>
      <c r="J52" s="31">
        <f>Bilanca!I59</f>
        <v>277401</v>
      </c>
      <c r="K52" s="31">
        <f>Bilanca!J59</f>
        <v>374752</v>
      </c>
    </row>
    <row r="53" spans="1:11" ht="12.75">
      <c r="A53" s="4" t="s">
        <v>532</v>
      </c>
      <c r="B53" s="29" t="str">
        <f>RefStr!I56</f>
        <v>DA</v>
      </c>
      <c r="D53" s="4" t="s">
        <v>1521</v>
      </c>
      <c r="E53" s="4">
        <v>1</v>
      </c>
      <c r="F53" s="4">
        <f>Bilanca!G60</f>
        <v>52</v>
      </c>
      <c r="G53" s="4">
        <f>IF(Bilanca!H60=0,"",Bilanca!H60)</f>
      </c>
      <c r="H53" s="30">
        <f t="shared" si="2"/>
        <v>5508850.359999999</v>
      </c>
      <c r="I53" s="31">
        <f t="shared" si="3"/>
        <v>0</v>
      </c>
      <c r="J53" s="31">
        <f>Bilanca!I60</f>
        <v>7335965</v>
      </c>
      <c r="K53" s="31">
        <f>Bilanca!J60</f>
        <v>1628989</v>
      </c>
    </row>
    <row r="54" spans="1:11" ht="12.75">
      <c r="A54" s="4" t="s">
        <v>533</v>
      </c>
      <c r="B54" s="29" t="str">
        <f>RefStr!I62</f>
        <v>DA</v>
      </c>
      <c r="D54" s="4" t="s">
        <v>1521</v>
      </c>
      <c r="E54" s="4">
        <v>1</v>
      </c>
      <c r="F54" s="4">
        <f>Bilanca!G61</f>
        <v>53</v>
      </c>
      <c r="G54" s="4">
        <f>IF(Bilanca!H61=0,"",Bilanca!H61)</f>
      </c>
      <c r="H54" s="30">
        <f t="shared" si="2"/>
        <v>2702524.59</v>
      </c>
      <c r="I54" s="31">
        <f t="shared" si="3"/>
        <v>0</v>
      </c>
      <c r="J54" s="31">
        <f>Bilanca!I61</f>
        <v>1693271</v>
      </c>
      <c r="K54" s="31">
        <f>Bilanca!J61</f>
        <v>1702916</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10132953058.840002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3110452.83</v>
      </c>
      <c r="I62" s="31">
        <f t="shared" si="3"/>
        <v>0</v>
      </c>
      <c r="J62" s="31">
        <f>Bilanca!I69</f>
        <v>1693271</v>
      </c>
      <c r="K62" s="31">
        <f>Bilanca!J69</f>
        <v>1702916</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38174655.33</v>
      </c>
      <c r="I64" s="31">
        <f t="shared" si="3"/>
        <v>0</v>
      </c>
      <c r="J64" s="31">
        <f>Bilanca!I71</f>
        <v>16849815</v>
      </c>
      <c r="K64" s="31">
        <f>Bilanca!J71</f>
        <v>21872438</v>
      </c>
    </row>
    <row r="65" spans="1:11" ht="12.75">
      <c r="A65" s="4" t="s">
        <v>687</v>
      </c>
      <c r="B65" s="29" t="str">
        <f>RefStr!N19</f>
        <v>HSFI</v>
      </c>
      <c r="D65" s="4" t="s">
        <v>1521</v>
      </c>
      <c r="E65" s="4">
        <v>1</v>
      </c>
      <c r="F65" s="4">
        <f>Bilanca!G72</f>
        <v>64</v>
      </c>
      <c r="G65" s="4">
        <f>IF(Bilanca!H72=0,"",Bilanca!H72)</f>
      </c>
      <c r="H65" s="30">
        <f t="shared" si="2"/>
        <v>190613.76</v>
      </c>
      <c r="I65" s="31">
        <f t="shared" si="3"/>
        <v>0</v>
      </c>
      <c r="J65" s="31">
        <f>Bilanca!I72</f>
        <v>17584</v>
      </c>
      <c r="K65" s="31">
        <f>Bilanca!J72</f>
        <v>140125</v>
      </c>
    </row>
    <row r="66" spans="1:11" ht="12.75">
      <c r="A66" s="4" t="s">
        <v>688</v>
      </c>
      <c r="B66" s="29">
        <f>RefStr!C23</f>
        <v>1</v>
      </c>
      <c r="D66" s="4" t="s">
        <v>1521</v>
      </c>
      <c r="E66" s="4">
        <v>1</v>
      </c>
      <c r="F66" s="4">
        <f>Bilanca!G73</f>
        <v>65</v>
      </c>
      <c r="G66" s="4">
        <f>IF(Bilanca!H73=0,"",Bilanca!H73)</f>
      </c>
      <c r="H66" s="30">
        <f t="shared" si="2"/>
        <v>1362391441.45</v>
      </c>
      <c r="I66" s="31">
        <f t="shared" si="3"/>
        <v>0</v>
      </c>
      <c r="J66" s="31">
        <f>Bilanca!I73</f>
        <v>703868937</v>
      </c>
      <c r="K66" s="31">
        <f>Bilanca!J73</f>
        <v>696058948</v>
      </c>
    </row>
    <row r="67" spans="1:11" ht="12.75">
      <c r="A67" s="4" t="s">
        <v>689</v>
      </c>
      <c r="B67" s="29" t="str">
        <f>RefStr!L35</f>
        <v>013942107</v>
      </c>
      <c r="D67" s="4" t="s">
        <v>1521</v>
      </c>
      <c r="E67" s="4">
        <v>1</v>
      </c>
      <c r="F67" s="4">
        <f>Bilanca!G74</f>
        <v>66</v>
      </c>
      <c r="G67" s="4">
        <f>IF(Bilanca!H74=0,"",Bilanca!H74)</f>
      </c>
      <c r="H67" s="30">
        <f t="shared" si="2"/>
        <v>11482948.620000001</v>
      </c>
      <c r="I67" s="31">
        <f t="shared" si="3"/>
        <v>0</v>
      </c>
      <c r="J67" s="31">
        <f>Bilanca!I74</f>
        <v>5799469</v>
      </c>
      <c r="K67" s="31">
        <f>Bilanca!J74</f>
        <v>5799469</v>
      </c>
    </row>
    <row r="68" spans="1:11" ht="12.75">
      <c r="A68" s="4" t="s">
        <v>690</v>
      </c>
      <c r="B68" s="29">
        <f>RefStr!C44</f>
        <v>1</v>
      </c>
      <c r="D68" s="4" t="s">
        <v>1521</v>
      </c>
      <c r="E68" s="4">
        <v>1</v>
      </c>
      <c r="F68" s="4">
        <f>Bilanca!G76</f>
        <v>67</v>
      </c>
      <c r="G68" s="4">
        <f>IF(Bilanca!H76=0,"",Bilanca!H76)</f>
      </c>
      <c r="H68" s="30">
        <f t="shared" si="2"/>
        <v>174282163.44</v>
      </c>
      <c r="I68" s="31">
        <f t="shared" si="3"/>
        <v>0</v>
      </c>
      <c r="J68" s="31">
        <f>Bilanca!I76</f>
        <v>86455980</v>
      </c>
      <c r="K68" s="31">
        <f>Bilanca!J76</f>
        <v>86833326</v>
      </c>
    </row>
    <row r="69" spans="1:11" ht="12.75">
      <c r="A69" s="4" t="s">
        <v>691</v>
      </c>
      <c r="B69" s="29">
        <f>RefStr!M46</f>
        <v>0</v>
      </c>
      <c r="D69" s="4" t="s">
        <v>1521</v>
      </c>
      <c r="E69" s="4">
        <v>1</v>
      </c>
      <c r="F69" s="4">
        <f>Bilanca!G77</f>
        <v>68</v>
      </c>
      <c r="G69" s="4">
        <f>IF(Bilanca!H77=0,"",Bilanca!H77)</f>
      </c>
      <c r="H69" s="30">
        <f t="shared" si="2"/>
        <v>2040000</v>
      </c>
      <c r="I69" s="31">
        <f t="shared" si="3"/>
        <v>0</v>
      </c>
      <c r="J69" s="31">
        <f>Bilanca!I77</f>
        <v>1000000</v>
      </c>
      <c r="K69" s="31">
        <f>Bilanca!J77</f>
        <v>1000000</v>
      </c>
    </row>
    <row r="70" spans="1:11" ht="12.75">
      <c r="A70" s="4" t="s">
        <v>692</v>
      </c>
      <c r="B70" s="29">
        <f>RefStr!C46</f>
        <v>0</v>
      </c>
      <c r="D70" s="4" t="s">
        <v>1521</v>
      </c>
      <c r="E70" s="4">
        <v>1</v>
      </c>
      <c r="F70" s="4">
        <f>Bilanca!G78</f>
        <v>69</v>
      </c>
      <c r="G70" s="4">
        <f>IF(Bilanca!H78=0,"",Bilanca!H78)</f>
      </c>
      <c r="H70" s="30">
        <f t="shared" si="2"/>
        <v>217637057.25</v>
      </c>
      <c r="I70" s="31">
        <f t="shared" si="3"/>
        <v>0</v>
      </c>
      <c r="J70" s="31">
        <f>Bilanca!I78</f>
        <v>105138675</v>
      </c>
      <c r="K70" s="31">
        <f>Bilanca!J78</f>
        <v>105138675</v>
      </c>
    </row>
    <row r="71" spans="4:11" ht="12.75">
      <c r="D71" s="4" t="s">
        <v>1521</v>
      </c>
      <c r="E71" s="4">
        <v>1</v>
      </c>
      <c r="F71" s="4">
        <f>Bilanca!G79</f>
        <v>70</v>
      </c>
      <c r="G71" s="4">
        <f>IF(Bilanca!H79=0,"",Bilanca!H79)</f>
      </c>
      <c r="H71" s="30">
        <f t="shared" si="2"/>
        <v>16.8</v>
      </c>
      <c r="I71" s="31">
        <f t="shared" si="3"/>
        <v>0</v>
      </c>
      <c r="J71" s="31">
        <f>Bilanca!I79</f>
        <v>8</v>
      </c>
      <c r="K71" s="31">
        <f>Bilanca!J79</f>
        <v>8</v>
      </c>
    </row>
    <row r="72" spans="4:11" ht="12.75">
      <c r="D72" s="4" t="s">
        <v>1521</v>
      </c>
      <c r="E72" s="4">
        <v>1</v>
      </c>
      <c r="F72" s="4">
        <f>Bilanca!G80</f>
        <v>71</v>
      </c>
      <c r="G72" s="4">
        <f>IF(Bilanca!H80=0,"",Bilanca!H80)</f>
      </c>
      <c r="H72" s="30">
        <f t="shared" si="2"/>
        <v>17.04</v>
      </c>
      <c r="I72" s="31">
        <f t="shared" si="3"/>
        <v>0</v>
      </c>
      <c r="J72" s="31">
        <f>Bilanca!I80</f>
        <v>8</v>
      </c>
      <c r="K72" s="31">
        <f>Bilanca!J80</f>
        <v>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-48096695.97</v>
      </c>
      <c r="I82" s="31">
        <f t="shared" si="3"/>
        <v>0</v>
      </c>
      <c r="J82" s="31">
        <f>Bilanca!I90</f>
        <v>-20013233</v>
      </c>
      <c r="K82" s="31">
        <f>Bilanca!J90</f>
        <v>-19682702</v>
      </c>
    </row>
    <row r="83" spans="4:11" ht="12.75">
      <c r="D83" s="4" t="s">
        <v>1521</v>
      </c>
      <c r="E83" s="4">
        <v>1</v>
      </c>
      <c r="F83" s="4">
        <f>Bilanca!G91</f>
        <v>82</v>
      </c>
      <c r="G83" s="4">
        <f>IF(Bilanca!H91=0,"",Bilanca!H91)</f>
      </c>
      <c r="H83" s="30">
        <f t="shared" si="2"/>
        <v>8942946.24</v>
      </c>
      <c r="I83" s="31">
        <f t="shared" si="3"/>
        <v>0</v>
      </c>
      <c r="J83" s="31">
        <f>Bilanca!I91</f>
        <v>3635344</v>
      </c>
      <c r="K83" s="31">
        <f>Bilanca!J91</f>
        <v>3635344</v>
      </c>
    </row>
    <row r="84" spans="4:11" ht="12.75">
      <c r="D84" s="4" t="s">
        <v>1521</v>
      </c>
      <c r="E84" s="4">
        <v>1</v>
      </c>
      <c r="F84" s="4">
        <f>Bilanca!G92</f>
        <v>83</v>
      </c>
      <c r="G84" s="4">
        <f>IF(Bilanca!H92=0,"",Bilanca!H92)</f>
      </c>
      <c r="H84" s="30">
        <f t="shared" si="2"/>
        <v>58336275.269999996</v>
      </c>
      <c r="I84" s="31">
        <f t="shared" si="3"/>
        <v>0</v>
      </c>
      <c r="J84" s="31">
        <f>Bilanca!I92</f>
        <v>23648577</v>
      </c>
      <c r="K84" s="31">
        <f>Bilanca!J92</f>
        <v>23318046</v>
      </c>
    </row>
    <row r="85" spans="4:11" ht="12.75">
      <c r="D85" s="4" t="s">
        <v>1521</v>
      </c>
      <c r="E85" s="4">
        <v>1</v>
      </c>
      <c r="F85" s="4">
        <f>Bilanca!G93</f>
        <v>84</v>
      </c>
      <c r="G85" s="4">
        <f>IF(Bilanca!H93=0,"",Bilanca!H93)</f>
      </c>
      <c r="H85" s="30">
        <f>J85/100*F85+2*K85/100*F85</f>
        <v>911584.8</v>
      </c>
      <c r="I85" s="31">
        <f>ABS(ROUND(J85,0)-J85)+ABS(ROUND(K85,0)-K85)</f>
        <v>0</v>
      </c>
      <c r="J85" s="31">
        <f>Bilanca!I93</f>
        <v>330530</v>
      </c>
      <c r="K85" s="31">
        <f>Bilanca!J93</f>
        <v>377345</v>
      </c>
    </row>
    <row r="86" spans="4:11" ht="12.75">
      <c r="D86" s="4" t="s">
        <v>1521</v>
      </c>
      <c r="E86" s="4">
        <v>1</v>
      </c>
      <c r="F86" s="4">
        <f>Bilanca!G94</f>
        <v>85</v>
      </c>
      <c r="G86" s="4">
        <f>IF(Bilanca!H94=0,"",Bilanca!H94)</f>
      </c>
      <c r="H86" s="30">
        <f>J86/100*F86+2*K86/100*F86</f>
        <v>922437</v>
      </c>
      <c r="I86" s="31">
        <f>ABS(ROUND(J86,0)-J86)+ABS(ROUND(K86,0)-K86)</f>
        <v>0</v>
      </c>
      <c r="J86" s="31">
        <f>Bilanca!I94</f>
        <v>330530</v>
      </c>
      <c r="K86" s="31">
        <f>Bilanca!J94</f>
        <v>377345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9214518.35</v>
      </c>
      <c r="I96" s="31">
        <f t="shared" si="5"/>
        <v>0</v>
      </c>
      <c r="J96" s="31">
        <f>Bilanca!I104</f>
        <v>3412145</v>
      </c>
      <c r="K96" s="31">
        <f>Bilanca!J104</f>
        <v>3143674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7335117.930000001</v>
      </c>
      <c r="I102" s="31">
        <f t="shared" si="5"/>
        <v>0</v>
      </c>
      <c r="J102" s="31">
        <f>Bilanca!I110</f>
        <v>2933145</v>
      </c>
      <c r="K102" s="31">
        <f>Bilanca!J110</f>
        <v>2164674</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1480110</v>
      </c>
      <c r="I104" s="31">
        <f t="shared" si="5"/>
        <v>0</v>
      </c>
      <c r="J104" s="31">
        <f>Bilanca!I112</f>
        <v>479000</v>
      </c>
      <c r="K104" s="31">
        <f>Bilanca!J112</f>
        <v>479000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1050000</v>
      </c>
      <c r="I106" s="31">
        <f t="shared" si="5"/>
        <v>0</v>
      </c>
      <c r="J106" s="31">
        <f>Bilanca!I114</f>
        <v>0</v>
      </c>
      <c r="K106" s="31">
        <f>Bilanca!J114</f>
        <v>500000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126580611.59</v>
      </c>
      <c r="I108" s="31">
        <f t="shared" si="5"/>
        <v>0</v>
      </c>
      <c r="J108" s="31">
        <f>Bilanca!I116</f>
        <v>42632193</v>
      </c>
      <c r="K108" s="31">
        <f>Bilanca!J116</f>
        <v>37833722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3187115.2800000003</v>
      </c>
      <c r="I114" s="31">
        <f t="shared" si="5"/>
        <v>0</v>
      </c>
      <c r="J114" s="31">
        <f>Bilanca!I122</f>
        <v>1404906</v>
      </c>
      <c r="K114" s="31">
        <f>Bilanca!J122</f>
        <v>707775</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90658050.05</v>
      </c>
      <c r="I116" s="31">
        <f t="shared" si="5"/>
        <v>0</v>
      </c>
      <c r="J116" s="31">
        <f>Bilanca!I124</f>
        <v>30069081</v>
      </c>
      <c r="K116" s="31">
        <f>Bilanca!J124</f>
        <v>24382003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2942186.13</v>
      </c>
      <c r="I118" s="31">
        <f t="shared" si="5"/>
        <v>0</v>
      </c>
      <c r="J118" s="31">
        <f>Bilanca!I126</f>
        <v>795529</v>
      </c>
      <c r="K118" s="31">
        <f>Bilanca!J126</f>
        <v>859580</v>
      </c>
    </row>
    <row r="119" spans="4:11" ht="12.75">
      <c r="D119" s="4" t="s">
        <v>1521</v>
      </c>
      <c r="E119" s="4">
        <v>1</v>
      </c>
      <c r="F119" s="4">
        <f>Bilanca!G127</f>
        <v>118</v>
      </c>
      <c r="G119" s="4">
        <f>IF(Bilanca!H127=0,"",Bilanca!H127)</f>
      </c>
      <c r="H119" s="30">
        <f t="shared" si="4"/>
        <v>2898291.2199999997</v>
      </c>
      <c r="I119" s="31">
        <f t="shared" si="5"/>
        <v>0</v>
      </c>
      <c r="J119" s="31">
        <f>Bilanca!I127</f>
        <v>946041</v>
      </c>
      <c r="K119" s="31">
        <f>Bilanca!J127</f>
        <v>755069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38327023.46</v>
      </c>
      <c r="I122" s="31">
        <f t="shared" si="5"/>
        <v>0</v>
      </c>
      <c r="J122" s="31">
        <f>Bilanca!I130</f>
        <v>9416636</v>
      </c>
      <c r="K122" s="31">
        <f>Bilanca!J130</f>
        <v>11129295</v>
      </c>
    </row>
    <row r="123" spans="4:11" ht="12.75">
      <c r="D123" s="4" t="s">
        <v>1521</v>
      </c>
      <c r="E123" s="4">
        <v>1</v>
      </c>
      <c r="F123" s="4">
        <f>Bilanca!G131</f>
        <v>122</v>
      </c>
      <c r="G123" s="4">
        <f>IF(Bilanca!H131=0,"",Bilanca!H131)</f>
      </c>
      <c r="H123" s="30">
        <f t="shared" si="4"/>
        <v>2083595386.6200001</v>
      </c>
      <c r="I123" s="31">
        <f t="shared" si="5"/>
        <v>0</v>
      </c>
      <c r="J123" s="31">
        <f>Bilanca!I131</f>
        <v>571368619</v>
      </c>
      <c r="K123" s="31">
        <f>Bilanca!J131</f>
        <v>568248226</v>
      </c>
    </row>
    <row r="124" spans="4:11" ht="12.75">
      <c r="D124" s="4" t="s">
        <v>1521</v>
      </c>
      <c r="E124" s="4">
        <v>1</v>
      </c>
      <c r="F124" s="4">
        <f>Bilanca!G132</f>
        <v>123</v>
      </c>
      <c r="G124" s="4">
        <f>IF(Bilanca!H132=0,"",Bilanca!H132)</f>
      </c>
      <c r="H124" s="30">
        <f t="shared" si="4"/>
        <v>2578063804.59</v>
      </c>
      <c r="I124" s="31">
        <f t="shared" si="5"/>
        <v>0</v>
      </c>
      <c r="J124" s="31">
        <f>Bilanca!I132</f>
        <v>703868937</v>
      </c>
      <c r="K124" s="31">
        <f>Bilanca!J132</f>
        <v>696058948</v>
      </c>
    </row>
    <row r="125" spans="4:11" ht="12.75">
      <c r="D125" s="4" t="s">
        <v>1521</v>
      </c>
      <c r="E125" s="4">
        <v>1</v>
      </c>
      <c r="F125" s="4">
        <f>Bilanca!G133</f>
        <v>124</v>
      </c>
      <c r="G125" s="4">
        <f>IF(Bilanca!H133=0,"",Bilanca!H133)</f>
      </c>
      <c r="H125" s="30">
        <f t="shared" si="4"/>
        <v>21574024.68</v>
      </c>
      <c r="I125" s="31">
        <f t="shared" si="5"/>
        <v>0</v>
      </c>
      <c r="J125" s="31">
        <f>Bilanca!I133</f>
        <v>5799469</v>
      </c>
      <c r="K125" s="31">
        <f>Bilanca!J133</f>
        <v>5799469</v>
      </c>
    </row>
    <row r="126" spans="4:11" ht="12.75">
      <c r="D126" s="4" t="s">
        <v>541</v>
      </c>
      <c r="E126" s="4">
        <v>2</v>
      </c>
      <c r="F126" s="4">
        <f>RDG!G8</f>
        <v>125</v>
      </c>
      <c r="G126" s="4">
        <f>IF(RDG!H8=0,"",RDG!H8)</f>
      </c>
      <c r="H126" s="30">
        <f t="shared" si="4"/>
        <v>210407822.5</v>
      </c>
      <c r="I126" s="4">
        <f t="shared" si="5"/>
        <v>0</v>
      </c>
      <c r="J126" s="31">
        <f>RDG!I8</f>
        <v>53712704</v>
      </c>
      <c r="K126" s="31">
        <f>RDG!J8</f>
        <v>57306777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150868454.93</v>
      </c>
      <c r="I128" s="4">
        <f aca="true" t="shared" si="7" ref="I128:I190">ABS(ROUND(J128,0)-J128)+ABS(ROUND(K128,0)-K128)</f>
        <v>0</v>
      </c>
      <c r="J128" s="31">
        <f>RDG!I10</f>
        <v>40351907</v>
      </c>
      <c r="K128" s="31">
        <f>RDG!J10</f>
        <v>39221076</v>
      </c>
    </row>
    <row r="129" spans="4:11" ht="12.75">
      <c r="D129" s="4" t="s">
        <v>541</v>
      </c>
      <c r="E129" s="4">
        <v>2</v>
      </c>
      <c r="F129" s="4">
        <f>RDG!G11</f>
        <v>128</v>
      </c>
      <c r="G129" s="4">
        <f>IF(RDG!H11=0,"",RDG!H11)</f>
      </c>
      <c r="H129" s="30">
        <f t="shared" si="6"/>
        <v>86712.32</v>
      </c>
      <c r="I129" s="4">
        <f t="shared" si="7"/>
        <v>0</v>
      </c>
      <c r="J129" s="31">
        <f>RDG!I11</f>
        <v>23178</v>
      </c>
      <c r="K129" s="31">
        <f>RDG!J11</f>
        <v>22283</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64303791.5</v>
      </c>
      <c r="I131" s="4">
        <f t="shared" si="7"/>
        <v>0</v>
      </c>
      <c r="J131" s="31">
        <f>RDG!I13</f>
        <v>13337619</v>
      </c>
      <c r="K131" s="31">
        <f>RDG!J13</f>
        <v>18063418</v>
      </c>
    </row>
    <row r="132" spans="4:11" ht="12.75">
      <c r="D132" s="4" t="s">
        <v>541</v>
      </c>
      <c r="E132" s="4">
        <v>2</v>
      </c>
      <c r="F132" s="4">
        <f>RDG!G14</f>
        <v>131</v>
      </c>
      <c r="G132" s="4">
        <f>IF(RDG!H14=0,"",RDG!H14)</f>
      </c>
      <c r="H132" s="30">
        <f t="shared" si="6"/>
        <v>219736424.99</v>
      </c>
      <c r="I132" s="4">
        <f t="shared" si="7"/>
        <v>0</v>
      </c>
      <c r="J132" s="31">
        <f>RDG!I14</f>
        <v>53476395</v>
      </c>
      <c r="K132" s="31">
        <f>RDG!J14</f>
        <v>57130667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78768033.05</v>
      </c>
      <c r="I134" s="4">
        <f t="shared" si="7"/>
        <v>0</v>
      </c>
      <c r="J134" s="31">
        <f>RDG!I16</f>
        <v>20089339</v>
      </c>
      <c r="K134" s="31">
        <f>RDG!J16</f>
        <v>19567373</v>
      </c>
    </row>
    <row r="135" spans="4:11" ht="12.75">
      <c r="D135" s="4" t="s">
        <v>541</v>
      </c>
      <c r="E135" s="4">
        <v>2</v>
      </c>
      <c r="F135" s="4">
        <f>RDG!G17</f>
        <v>134</v>
      </c>
      <c r="G135" s="4">
        <f>IF(RDG!H17=0,"",RDG!H17)</f>
      </c>
      <c r="H135" s="30">
        <f t="shared" si="6"/>
        <v>16956425.66</v>
      </c>
      <c r="I135" s="4">
        <f t="shared" si="7"/>
        <v>0</v>
      </c>
      <c r="J135" s="31">
        <f>RDG!I17</f>
        <v>4133415</v>
      </c>
      <c r="K135" s="31">
        <f>RDG!J17</f>
        <v>4260317</v>
      </c>
    </row>
    <row r="136" spans="4:11" ht="12.75">
      <c r="D136" s="4" t="s">
        <v>541</v>
      </c>
      <c r="E136" s="4">
        <v>2</v>
      </c>
      <c r="F136" s="4">
        <f>RDG!G18</f>
        <v>135</v>
      </c>
      <c r="G136" s="4">
        <f>IF(RDG!H18=0,"",RDG!H18)</f>
      </c>
      <c r="H136" s="30">
        <f t="shared" si="6"/>
        <v>35726806.35</v>
      </c>
      <c r="I136" s="4">
        <f t="shared" si="7"/>
        <v>0</v>
      </c>
      <c r="J136" s="31">
        <f>RDG!I18</f>
        <v>9132739</v>
      </c>
      <c r="K136" s="31">
        <f>RDG!J18</f>
        <v>8665781</v>
      </c>
    </row>
    <row r="137" spans="4:11" ht="12.75">
      <c r="D137" s="4" t="s">
        <v>541</v>
      </c>
      <c r="E137" s="4">
        <v>2</v>
      </c>
      <c r="F137" s="4">
        <f>RDG!G19</f>
        <v>136</v>
      </c>
      <c r="G137" s="4">
        <f>IF(RDG!H19=0,"",RDG!H19)</f>
      </c>
      <c r="H137" s="30">
        <f t="shared" si="6"/>
        <v>27343799.6</v>
      </c>
      <c r="I137" s="4">
        <f t="shared" si="7"/>
        <v>0</v>
      </c>
      <c r="J137" s="31">
        <f>RDG!I19</f>
        <v>6823185</v>
      </c>
      <c r="K137" s="31">
        <f>RDG!J19</f>
        <v>6641275</v>
      </c>
    </row>
    <row r="138" spans="4:11" ht="12.75">
      <c r="D138" s="4" t="s">
        <v>541</v>
      </c>
      <c r="E138" s="4">
        <v>2</v>
      </c>
      <c r="F138" s="4">
        <f>RDG!G20</f>
        <v>137</v>
      </c>
      <c r="G138" s="4">
        <f>IF(RDG!H20=0,"",RDG!H20)</f>
      </c>
      <c r="H138" s="30">
        <f t="shared" si="6"/>
        <v>60165905.03</v>
      </c>
      <c r="I138" s="4">
        <f t="shared" si="7"/>
        <v>0</v>
      </c>
      <c r="J138" s="31">
        <f>RDG!I20</f>
        <v>14401767</v>
      </c>
      <c r="K138" s="31">
        <f>RDG!J20</f>
        <v>14757476</v>
      </c>
    </row>
    <row r="139" spans="4:11" ht="12.75">
      <c r="D139" s="4" t="s">
        <v>541</v>
      </c>
      <c r="E139" s="4">
        <v>2</v>
      </c>
      <c r="F139" s="4">
        <f>RDG!G21</f>
        <v>138</v>
      </c>
      <c r="G139" s="4">
        <f>IF(RDG!H21=0,"",RDG!H21)</f>
      </c>
      <c r="H139" s="30">
        <f t="shared" si="6"/>
        <v>37750485.12</v>
      </c>
      <c r="I139" s="4">
        <f t="shared" si="7"/>
        <v>0</v>
      </c>
      <c r="J139" s="31">
        <f>RDG!I21</f>
        <v>9011622</v>
      </c>
      <c r="K139" s="31">
        <f>RDG!J21</f>
        <v>9171901</v>
      </c>
    </row>
    <row r="140" spans="4:11" ht="12.75">
      <c r="D140" s="4" t="s">
        <v>541</v>
      </c>
      <c r="E140" s="4">
        <v>2</v>
      </c>
      <c r="F140" s="4">
        <f>RDG!G22</f>
        <v>139</v>
      </c>
      <c r="G140" s="4">
        <f>IF(RDG!H22=0,"",RDG!H22)</f>
      </c>
      <c r="H140" s="30">
        <f t="shared" si="6"/>
        <v>14199611.719999999</v>
      </c>
      <c r="I140" s="4">
        <f t="shared" si="7"/>
        <v>0</v>
      </c>
      <c r="J140" s="31">
        <f>RDG!I22</f>
        <v>3289930</v>
      </c>
      <c r="K140" s="31">
        <f>RDG!J22</f>
        <v>3462809</v>
      </c>
    </row>
    <row r="141" spans="4:11" ht="12.75">
      <c r="D141" s="4" t="s">
        <v>541</v>
      </c>
      <c r="E141" s="4">
        <v>2</v>
      </c>
      <c r="F141" s="4">
        <f>RDG!G23</f>
        <v>140</v>
      </c>
      <c r="G141" s="4">
        <f>IF(RDG!H23=0,"",RDG!H23)</f>
      </c>
      <c r="H141" s="30">
        <f t="shared" si="6"/>
        <v>8884045.8</v>
      </c>
      <c r="I141" s="4">
        <f t="shared" si="7"/>
        <v>0</v>
      </c>
      <c r="J141" s="31">
        <f>RDG!I23</f>
        <v>2100215</v>
      </c>
      <c r="K141" s="31">
        <f>RDG!J23</f>
        <v>2122766</v>
      </c>
    </row>
    <row r="142" spans="4:11" ht="12.75">
      <c r="D142" s="4" t="s">
        <v>541</v>
      </c>
      <c r="E142" s="4">
        <v>2</v>
      </c>
      <c r="F142" s="4">
        <f>RDG!G24</f>
        <v>141</v>
      </c>
      <c r="G142" s="4">
        <f>IF(RDG!H24=0,"",RDG!H24)</f>
      </c>
      <c r="H142" s="30">
        <f t="shared" si="6"/>
        <v>70815855.51</v>
      </c>
      <c r="I142" s="4">
        <f t="shared" si="7"/>
        <v>0</v>
      </c>
      <c r="J142" s="31">
        <f>RDG!I24</f>
        <v>14855521</v>
      </c>
      <c r="K142" s="31">
        <f>RDG!J24</f>
        <v>17684245</v>
      </c>
    </row>
    <row r="143" spans="4:11" ht="12.75">
      <c r="D143" s="4" t="s">
        <v>541</v>
      </c>
      <c r="E143" s="4">
        <v>2</v>
      </c>
      <c r="F143" s="4">
        <f>RDG!G25</f>
        <v>142</v>
      </c>
      <c r="G143" s="4">
        <f>IF(RDG!H25=0,"",RDG!H25)</f>
      </c>
      <c r="H143" s="30">
        <f t="shared" si="6"/>
        <v>12321670.86</v>
      </c>
      <c r="I143" s="4">
        <f t="shared" si="7"/>
        <v>0</v>
      </c>
      <c r="J143" s="31">
        <f>RDG!I25</f>
        <v>2994143</v>
      </c>
      <c r="K143" s="31">
        <f>RDG!J25</f>
        <v>2841545</v>
      </c>
    </row>
    <row r="144" spans="4:11" ht="12.75">
      <c r="D144" s="4" t="s">
        <v>541</v>
      </c>
      <c r="E144" s="4">
        <v>2</v>
      </c>
      <c r="F144" s="4">
        <f>RDG!G26</f>
        <v>143</v>
      </c>
      <c r="G144" s="4">
        <f>IF(RDG!H26=0,"",RDG!H26)</f>
      </c>
      <c r="H144" s="30">
        <f t="shared" si="6"/>
        <v>5783164.53</v>
      </c>
      <c r="I144" s="4">
        <f t="shared" si="7"/>
        <v>0</v>
      </c>
      <c r="J144" s="31">
        <f>RDG!I26</f>
        <v>966551</v>
      </c>
      <c r="K144" s="31">
        <f>RDG!J26</f>
        <v>1538810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5864047.95</v>
      </c>
      <c r="I146" s="4">
        <f t="shared" si="7"/>
        <v>0</v>
      </c>
      <c r="J146" s="31">
        <f>RDG!I28</f>
        <v>966551</v>
      </c>
      <c r="K146" s="31">
        <f>RDG!J28</f>
        <v>1538810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2526810.3000000003</v>
      </c>
      <c r="I154" s="4">
        <f t="shared" si="7"/>
        <v>0</v>
      </c>
      <c r="J154" s="31">
        <f>RDG!I36</f>
        <v>169074</v>
      </c>
      <c r="K154" s="31">
        <f>RDG!J36</f>
        <v>741218</v>
      </c>
    </row>
    <row r="155" spans="4:11" ht="12.75">
      <c r="D155" s="4" t="s">
        <v>541</v>
      </c>
      <c r="E155" s="4">
        <v>2</v>
      </c>
      <c r="F155" s="4">
        <f>RDG!G37</f>
        <v>154</v>
      </c>
      <c r="G155" s="4">
        <f>IF(RDG!H37=0,"",RDG!H37)</f>
      </c>
      <c r="H155" s="30">
        <f t="shared" si="6"/>
        <v>992740.98</v>
      </c>
      <c r="I155" s="4">
        <f t="shared" si="7"/>
        <v>0</v>
      </c>
      <c r="J155" s="31">
        <f>RDG!I37</f>
        <v>191993</v>
      </c>
      <c r="K155" s="31">
        <f>RDG!J37</f>
        <v>226322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874576.15</v>
      </c>
      <c r="I162" s="4">
        <f t="shared" si="7"/>
        <v>0</v>
      </c>
      <c r="J162" s="31">
        <f>RDG!I44</f>
        <v>180485</v>
      </c>
      <c r="K162" s="31">
        <f>RDG!J44</f>
        <v>181365</v>
      </c>
    </row>
    <row r="163" spans="4:11" ht="12.75">
      <c r="D163" s="4" t="s">
        <v>541</v>
      </c>
      <c r="E163" s="4">
        <v>2</v>
      </c>
      <c r="F163" s="4">
        <f>RDG!G45</f>
        <v>162</v>
      </c>
      <c r="G163" s="4">
        <f>IF(RDG!H45=0,"",RDG!H45)</f>
      </c>
      <c r="H163" s="30">
        <f t="shared" si="6"/>
        <v>164303.63999999998</v>
      </c>
      <c r="I163" s="4">
        <f t="shared" si="7"/>
        <v>0</v>
      </c>
      <c r="J163" s="31">
        <f>RDG!I45</f>
        <v>11508</v>
      </c>
      <c r="K163" s="31">
        <f>RDG!J45</f>
        <v>44957</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244110.90000000002</v>
      </c>
      <c r="I166" s="4">
        <f t="shared" si="7"/>
        <v>0</v>
      </c>
      <c r="J166" s="31">
        <f>RDG!I48</f>
        <v>97772</v>
      </c>
      <c r="K166" s="31">
        <f>RDG!J48</f>
        <v>25087</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248549.28</v>
      </c>
      <c r="I169" s="4">
        <f t="shared" si="7"/>
        <v>0</v>
      </c>
      <c r="J169" s="31">
        <f>RDG!I51</f>
        <v>97772</v>
      </c>
      <c r="K169" s="31">
        <f>RDG!J51</f>
        <v>25087</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299078484.15</v>
      </c>
      <c r="I178" s="4">
        <f t="shared" si="7"/>
        <v>0</v>
      </c>
      <c r="J178" s="31">
        <f>RDG!I60</f>
        <v>53904697</v>
      </c>
      <c r="K178" s="31">
        <f>RDG!J60</f>
        <v>57533099</v>
      </c>
    </row>
    <row r="179" spans="4:11" ht="12.75">
      <c r="D179" s="4" t="s">
        <v>541</v>
      </c>
      <c r="E179" s="4">
        <v>2</v>
      </c>
      <c r="F179" s="4">
        <f>RDG!G61</f>
        <v>178</v>
      </c>
      <c r="G179" s="4">
        <f>IF(RDG!H61=0,"",RDG!H61)</f>
      </c>
      <c r="H179" s="30">
        <f t="shared" si="6"/>
        <v>298836501.5</v>
      </c>
      <c r="I179" s="4">
        <f t="shared" si="7"/>
        <v>0</v>
      </c>
      <c r="J179" s="31">
        <f>RDG!I61</f>
        <v>53574167</v>
      </c>
      <c r="K179" s="31">
        <f>RDG!J61</f>
        <v>57155754</v>
      </c>
    </row>
    <row r="180" spans="4:11" ht="12.75">
      <c r="D180" s="4" t="s">
        <v>541</v>
      </c>
      <c r="E180" s="4">
        <v>2</v>
      </c>
      <c r="F180" s="4">
        <f>RDG!G62</f>
        <v>179</v>
      </c>
      <c r="G180" s="4">
        <f>IF(RDG!H62=0,"",RDG!H62)</f>
      </c>
      <c r="H180" s="30">
        <f t="shared" si="6"/>
        <v>1942543.7999999998</v>
      </c>
      <c r="I180" s="4">
        <f t="shared" si="7"/>
        <v>0</v>
      </c>
      <c r="J180" s="31">
        <f>RDG!I62</f>
        <v>330530</v>
      </c>
      <c r="K180" s="31">
        <f>RDG!J62</f>
        <v>377345</v>
      </c>
    </row>
    <row r="181" spans="4:11" ht="12.75">
      <c r="D181" s="4" t="s">
        <v>541</v>
      </c>
      <c r="E181" s="4">
        <v>2</v>
      </c>
      <c r="F181" s="4">
        <f>RDG!G63</f>
        <v>180</v>
      </c>
      <c r="G181" s="4">
        <f>IF(RDG!H63=0,"",RDG!H63)</f>
      </c>
      <c r="H181" s="30">
        <f t="shared" si="6"/>
        <v>1953396</v>
      </c>
      <c r="I181" s="4">
        <f t="shared" si="7"/>
        <v>0</v>
      </c>
      <c r="J181" s="31">
        <f>RDG!I63</f>
        <v>330530</v>
      </c>
      <c r="K181" s="31">
        <f>RDG!J63</f>
        <v>377345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1985952.6</v>
      </c>
      <c r="I184" s="4">
        <f t="shared" si="7"/>
        <v>0</v>
      </c>
      <c r="J184" s="31">
        <f>RDG!I66</f>
        <v>330530</v>
      </c>
      <c r="K184" s="31">
        <f>RDG!J66</f>
        <v>377345</v>
      </c>
    </row>
    <row r="185" spans="4:11" ht="12.75">
      <c r="D185" s="4" t="s">
        <v>541</v>
      </c>
      <c r="E185" s="4">
        <v>2</v>
      </c>
      <c r="F185" s="4">
        <f>RDG!G67</f>
        <v>184</v>
      </c>
      <c r="G185" s="4">
        <f>IF(RDG!H67=0,"",RDG!H67)</f>
      </c>
      <c r="H185" s="30">
        <f t="shared" si="6"/>
        <v>1996804.7999999998</v>
      </c>
      <c r="I185" s="4">
        <f t="shared" si="7"/>
        <v>0</v>
      </c>
      <c r="J185" s="31">
        <f>RDG!I67</f>
        <v>330530</v>
      </c>
      <c r="K185" s="31">
        <f>RDG!J67</f>
        <v>377345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2184362.29</v>
      </c>
      <c r="I339" s="4">
        <f>ABS(ROUND(J339,0)-J339)+ABS(ROUND(K339,0)-K339)</f>
        <v>0</v>
      </c>
      <c r="J339" s="31">
        <f>NT_D!I9</f>
        <v>66652617</v>
      </c>
      <c r="K339" s="31">
        <f>NT_D!J9</f>
        <v>75891806</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198.60000000000002</v>
      </c>
      <c r="I341" s="4">
        <f aca="true" t="shared" si="21" ref="I341:I380">ABS(ROUND(J341,0)-J341)+ABS(ROUND(K341,0)-K341)</f>
        <v>0</v>
      </c>
      <c r="J341" s="31">
        <f>NT_D!I11</f>
        <v>0</v>
      </c>
      <c r="K341" s="31">
        <f>NT_D!J11</f>
        <v>3310</v>
      </c>
    </row>
    <row r="342" spans="4:11" ht="12.75">
      <c r="D342" s="4" t="s">
        <v>1524</v>
      </c>
      <c r="E342" s="4">
        <v>5</v>
      </c>
      <c r="F342" s="32">
        <f>NT_D!G12</f>
        <v>4</v>
      </c>
      <c r="G342" s="32">
        <f>IF(NT_D!H12&lt;&gt;"",NT_D!H12,"")</f>
      </c>
      <c r="H342" s="30">
        <f t="shared" si="20"/>
        <v>1159.68</v>
      </c>
      <c r="I342" s="4">
        <f t="shared" si="21"/>
        <v>0</v>
      </c>
      <c r="J342" s="31">
        <f>NT_D!I12</f>
        <v>0</v>
      </c>
      <c r="K342" s="31">
        <f>NT_D!J12</f>
        <v>14496</v>
      </c>
    </row>
    <row r="343" spans="4:11" ht="12.75">
      <c r="D343" s="4" t="s">
        <v>1524</v>
      </c>
      <c r="E343" s="4">
        <v>5</v>
      </c>
      <c r="F343" s="32">
        <f>NT_D!G13</f>
        <v>5</v>
      </c>
      <c r="G343" s="32">
        <f>IF(NT_D!H13&lt;&gt;"",NT_D!H13,"")</f>
      </c>
      <c r="H343" s="30">
        <f t="shared" si="20"/>
        <v>-5534791.7</v>
      </c>
      <c r="I343" s="4">
        <f t="shared" si="21"/>
        <v>0</v>
      </c>
      <c r="J343" s="31">
        <f>NT_D!I13</f>
        <v>-32575380</v>
      </c>
      <c r="K343" s="31">
        <f>NT_D!J13</f>
        <v>-39060227</v>
      </c>
    </row>
    <row r="344" spans="4:11" ht="12.75">
      <c r="D344" s="4" t="s">
        <v>1524</v>
      </c>
      <c r="E344" s="4">
        <v>5</v>
      </c>
      <c r="F344" s="32">
        <f>NT_D!G14</f>
        <v>6</v>
      </c>
      <c r="G344" s="32">
        <f>IF(NT_D!H14&lt;&gt;"",NT_D!H14,"")</f>
      </c>
      <c r="H344" s="30">
        <f t="shared" si="20"/>
        <v>-2735144.46</v>
      </c>
      <c r="I344" s="4">
        <f t="shared" si="21"/>
        <v>0</v>
      </c>
      <c r="J344" s="31">
        <f>NT_D!I14</f>
        <v>-15650673</v>
      </c>
      <c r="K344" s="31">
        <f>NT_D!J14</f>
        <v>-14967534</v>
      </c>
    </row>
    <row r="345" spans="4:11" ht="12.75">
      <c r="D345" s="4" t="s">
        <v>1524</v>
      </c>
      <c r="E345" s="4">
        <v>5</v>
      </c>
      <c r="F345" s="32">
        <f>NT_D!G15</f>
        <v>7</v>
      </c>
      <c r="G345" s="32">
        <f>IF(NT_D!H15&lt;&gt;"",NT_D!H15,"")</f>
      </c>
      <c r="H345" s="30">
        <f t="shared" si="20"/>
        <v>-16033.64</v>
      </c>
      <c r="I345" s="4">
        <f t="shared" si="21"/>
        <v>0</v>
      </c>
      <c r="J345" s="31">
        <f>NT_D!I15</f>
        <v>-229052</v>
      </c>
      <c r="K345" s="31">
        <f>NT_D!J15</f>
        <v>0</v>
      </c>
    </row>
    <row r="346" spans="4:11" ht="12.75">
      <c r="D346" s="4" t="s">
        <v>1524</v>
      </c>
      <c r="E346" s="4">
        <v>5</v>
      </c>
      <c r="F346" s="32">
        <f>NT_D!G16</f>
        <v>8</v>
      </c>
      <c r="G346" s="32">
        <f>IF(NT_D!H16&lt;&gt;"",NT_D!H16,"")</f>
      </c>
      <c r="H346" s="30">
        <f t="shared" si="20"/>
        <v>-3282125.36</v>
      </c>
      <c r="I346" s="4">
        <f t="shared" si="21"/>
        <v>0</v>
      </c>
      <c r="J346" s="31">
        <f>NT_D!I16</f>
        <v>-4935479</v>
      </c>
      <c r="K346" s="31">
        <f>NT_D!J16</f>
        <v>-18045544</v>
      </c>
    </row>
    <row r="347" spans="4:11" ht="12.75">
      <c r="D347" s="4" t="s">
        <v>1524</v>
      </c>
      <c r="E347" s="4">
        <v>5</v>
      </c>
      <c r="F347" s="32">
        <f>NT_D!G17</f>
        <v>9</v>
      </c>
      <c r="G347" s="32">
        <f>IF(NT_D!H17&lt;&gt;"",NT_D!H17,"")</f>
      </c>
      <c r="H347" s="30">
        <f t="shared" si="20"/>
        <v>1884118.23</v>
      </c>
      <c r="I347" s="4">
        <f t="shared" si="21"/>
        <v>0</v>
      </c>
      <c r="J347" s="31">
        <f>NT_D!I17</f>
        <v>13262033</v>
      </c>
      <c r="K347" s="31">
        <f>NT_D!J17</f>
        <v>3836307</v>
      </c>
    </row>
    <row r="348" spans="4:11" ht="12.75">
      <c r="D348" s="4" t="s">
        <v>1524</v>
      </c>
      <c r="E348" s="4">
        <v>5</v>
      </c>
      <c r="F348" s="32">
        <f>NT_D!G18</f>
        <v>10</v>
      </c>
      <c r="G348" s="32">
        <f>IF(NT_D!H18&lt;&gt;"",NT_D!H18,"")</f>
      </c>
      <c r="H348" s="30">
        <f t="shared" si="20"/>
        <v>-12051.2</v>
      </c>
      <c r="I348" s="4">
        <f t="shared" si="21"/>
        <v>0</v>
      </c>
      <c r="J348" s="31">
        <f>NT_D!I18</f>
        <v>-70338</v>
      </c>
      <c r="K348" s="31">
        <f>NT_D!J18</f>
        <v>-25087</v>
      </c>
    </row>
    <row r="349" spans="4:11" ht="12.75">
      <c r="D349" s="4" t="s">
        <v>1524</v>
      </c>
      <c r="E349" s="4">
        <v>5</v>
      </c>
      <c r="F349" s="32">
        <f>NT_D!G19</f>
        <v>11</v>
      </c>
      <c r="G349" s="32">
        <f>IF(NT_D!H19&lt;&gt;"",NT_D!H19,"")</f>
      </c>
      <c r="H349" s="30">
        <f t="shared" si="20"/>
        <v>-2853.84</v>
      </c>
      <c r="I349" s="4">
        <f t="shared" si="21"/>
        <v>0</v>
      </c>
      <c r="J349" s="31">
        <f>NT_D!I19</f>
        <v>0</v>
      </c>
      <c r="K349" s="31">
        <f>NT_D!J19</f>
        <v>-12972</v>
      </c>
    </row>
    <row r="350" spans="4:11" ht="12.75">
      <c r="D350" s="4" t="s">
        <v>1524</v>
      </c>
      <c r="E350" s="4">
        <v>5</v>
      </c>
      <c r="F350" s="32">
        <f>NT_D!G20</f>
        <v>12</v>
      </c>
      <c r="G350" s="32">
        <f>IF(NT_D!H20&lt;&gt;"",NT_D!H20,"")</f>
      </c>
      <c r="H350" s="30">
        <f t="shared" si="20"/>
        <v>2494582.92</v>
      </c>
      <c r="I350" s="4">
        <f t="shared" si="21"/>
        <v>0</v>
      </c>
      <c r="J350" s="31">
        <f>NT_D!I20</f>
        <v>13191695</v>
      </c>
      <c r="K350" s="31">
        <f>NT_D!J20</f>
        <v>3798248</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27072.75</v>
      </c>
      <c r="I353" s="4">
        <f t="shared" si="21"/>
        <v>0</v>
      </c>
      <c r="J353" s="31">
        <f>NT_D!I24</f>
        <v>180485</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1740455.28</v>
      </c>
      <c r="I356" s="4">
        <f t="shared" si="21"/>
        <v>0</v>
      </c>
      <c r="J356" s="31">
        <f>NT_D!I27</f>
        <v>0</v>
      </c>
      <c r="K356" s="31">
        <f>NT_D!J27</f>
        <v>4834598</v>
      </c>
    </row>
    <row r="357" spans="4:11" ht="12.75">
      <c r="D357" s="4" t="s">
        <v>1524</v>
      </c>
      <c r="E357" s="4">
        <v>5</v>
      </c>
      <c r="F357" s="32">
        <f>NT_D!G28</f>
        <v>19</v>
      </c>
      <c r="G357" s="32">
        <f>IF(NT_D!H28&lt;&gt;"",NT_D!H28,"")</f>
      </c>
      <c r="H357" s="30">
        <f t="shared" si="20"/>
        <v>1871439.3900000001</v>
      </c>
      <c r="I357" s="4">
        <f t="shared" si="21"/>
        <v>0</v>
      </c>
      <c r="J357" s="31">
        <f>NT_D!I28</f>
        <v>180485</v>
      </c>
      <c r="K357" s="31">
        <f>NT_D!J28</f>
        <v>4834598</v>
      </c>
    </row>
    <row r="358" spans="4:11" ht="12.75">
      <c r="D358" s="4" t="s">
        <v>1524</v>
      </c>
      <c r="E358" s="4">
        <v>5</v>
      </c>
      <c r="F358" s="32">
        <f>NT_D!G29</f>
        <v>20</v>
      </c>
      <c r="G358" s="32">
        <f>IF(NT_D!H29&lt;&gt;"",NT_D!H29,"")</f>
      </c>
      <c r="H358" s="30">
        <f t="shared" si="20"/>
        <v>-2297126.8</v>
      </c>
      <c r="I358" s="4">
        <f t="shared" si="21"/>
        <v>0</v>
      </c>
      <c r="J358" s="31">
        <f>NT_D!I29</f>
        <v>-7090682</v>
      </c>
      <c r="K358" s="31">
        <f>NT_D!J29</f>
        <v>-2197476</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-46667.06</v>
      </c>
      <c r="I360" s="4">
        <f t="shared" si="21"/>
        <v>0</v>
      </c>
      <c r="J360" s="31">
        <f>NT_D!I31</f>
        <v>-192835</v>
      </c>
      <c r="K360" s="31">
        <f>NT_D!J31</f>
        <v>-9644</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-2924439.25</v>
      </c>
      <c r="I363" s="4">
        <f t="shared" si="21"/>
        <v>0</v>
      </c>
      <c r="J363" s="31">
        <f>NT_D!I34</f>
        <v>-7283517</v>
      </c>
      <c r="K363" s="31">
        <f>NT_D!J34</f>
        <v>-2207120</v>
      </c>
    </row>
    <row r="364" spans="4:11" ht="12.75">
      <c r="D364" s="4" t="s">
        <v>1524</v>
      </c>
      <c r="E364" s="4">
        <v>5</v>
      </c>
      <c r="F364" s="32">
        <f>NT_D!G35</f>
        <v>26</v>
      </c>
      <c r="G364" s="32">
        <f>IF(NT_D!H35&lt;&gt;"",NT_D!H35,"")</f>
      </c>
      <c r="H364" s="30">
        <f t="shared" si="20"/>
        <v>-480499.76000000024</v>
      </c>
      <c r="I364" s="4">
        <f t="shared" si="21"/>
        <v>0</v>
      </c>
      <c r="J364" s="31">
        <f>NT_D!I35</f>
        <v>-7103032</v>
      </c>
      <c r="K364" s="31">
        <f>NT_D!J35</f>
        <v>2627478</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-1577932.1600000001</v>
      </c>
      <c r="I370" s="4">
        <f t="shared" si="21"/>
        <v>0</v>
      </c>
      <c r="J370" s="31">
        <f>NT_D!I42</f>
        <v>-2124832</v>
      </c>
      <c r="K370" s="31">
        <f>NT_D!J42</f>
        <v>-1403103</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-1824484.06</v>
      </c>
      <c r="I375" s="4">
        <f t="shared" si="21"/>
        <v>0</v>
      </c>
      <c r="J375" s="31">
        <f>NT_D!I47</f>
        <v>-2124832</v>
      </c>
      <c r="K375" s="31">
        <f>NT_D!J47</f>
        <v>-1403103</v>
      </c>
    </row>
    <row r="376" spans="4:11" ht="12.75">
      <c r="D376" s="4" t="s">
        <v>1524</v>
      </c>
      <c r="E376" s="4">
        <v>5</v>
      </c>
      <c r="F376" s="32">
        <f>NT_D!G48</f>
        <v>38</v>
      </c>
      <c r="G376" s="32">
        <f>IF(NT_D!H48&lt;&gt;"",NT_D!H48,"")</f>
      </c>
      <c r="H376" s="30">
        <f t="shared" si="20"/>
        <v>-1873794.44</v>
      </c>
      <c r="I376" s="4">
        <f t="shared" si="21"/>
        <v>0</v>
      </c>
      <c r="J376" s="31">
        <f>NT_D!I48</f>
        <v>-2124832</v>
      </c>
      <c r="K376" s="31">
        <f>NT_D!J48</f>
        <v>-1403103</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5603630.800000001</v>
      </c>
      <c r="I378" s="4">
        <f t="shared" si="21"/>
        <v>0</v>
      </c>
      <c r="J378" s="31">
        <f>NT_D!I50</f>
        <v>3963831</v>
      </c>
      <c r="K378" s="31">
        <f>NT_D!J50</f>
        <v>5022623</v>
      </c>
    </row>
    <row r="379" spans="4:11" ht="12.75">
      <c r="D379" s="4" t="s">
        <v>1524</v>
      </c>
      <c r="E379" s="4">
        <v>5</v>
      </c>
      <c r="F379" s="32">
        <f>NT_D!G51</f>
        <v>41</v>
      </c>
      <c r="G379" s="32">
        <f>IF(NT_D!H51&lt;&gt;"",NT_D!H51,"")</f>
      </c>
      <c r="H379" s="30">
        <f t="shared" si="20"/>
        <v>19100101.74</v>
      </c>
      <c r="I379" s="4">
        <f t="shared" si="21"/>
        <v>0</v>
      </c>
      <c r="J379" s="31">
        <f>NT_D!I51</f>
        <v>12885984</v>
      </c>
      <c r="K379" s="31">
        <f>NT_D!J51</f>
        <v>16849815</v>
      </c>
    </row>
    <row r="380" spans="4:11" ht="12.75">
      <c r="D380" s="4" t="s">
        <v>1524</v>
      </c>
      <c r="E380" s="4">
        <v>5</v>
      </c>
      <c r="F380" s="32">
        <f>NT_D!G52</f>
        <v>42</v>
      </c>
      <c r="G380" s="32">
        <f>IF(NT_D!H52&lt;&gt;"",NT_D!H52,"")</f>
      </c>
      <c r="H380" s="30">
        <f t="shared" si="20"/>
        <v>25449770.220000003</v>
      </c>
      <c r="I380" s="4">
        <f t="shared" si="21"/>
        <v>0</v>
      </c>
      <c r="J380" s="31">
        <f>NT_D!I52</f>
        <v>16849815</v>
      </c>
      <c r="K380" s="31">
        <f>NT_D!J52</f>
        <v>21872438</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28514046.45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1000000</v>
      </c>
      <c r="K381" s="31">
        <f>PK!J10</f>
        <v>105138675</v>
      </c>
      <c r="L381" s="31">
        <f>PK!K10</f>
        <v>8</v>
      </c>
      <c r="M381" s="31">
        <f>PK!L10</f>
        <v>0</v>
      </c>
      <c r="N381" s="31">
        <f>PK!M10</f>
        <v>0</v>
      </c>
      <c r="O381" s="31">
        <f>PK!N10</f>
        <v>0</v>
      </c>
      <c r="P381" s="31">
        <f>PK!O10</f>
        <v>0</v>
      </c>
      <c r="Q381" s="31">
        <f>PK!P10</f>
        <v>7785077</v>
      </c>
      <c r="R381" s="31">
        <f>PK!Q10</f>
        <v>0</v>
      </c>
      <c r="S381" s="31">
        <f>PK!R10</f>
        <v>0</v>
      </c>
      <c r="T381" s="31">
        <f>PK!S10</f>
        <v>0</v>
      </c>
      <c r="U381" s="31">
        <f>PK!T10</f>
        <v>-20702874</v>
      </c>
      <c r="V381" s="31">
        <f>PK!U10</f>
        <v>689641</v>
      </c>
      <c r="W381" s="31">
        <f>PK!V10</f>
        <v>93910527</v>
      </c>
      <c r="X381" s="31">
        <f>PK!W10</f>
        <v>0</v>
      </c>
      <c r="Y381" s="31">
        <f>PK!X10</f>
        <v>93910527</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34852366.95</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1000000</v>
      </c>
      <c r="K384" s="31">
        <f>PK!J13</f>
        <v>105138675</v>
      </c>
      <c r="L384" s="31">
        <f>PK!K13</f>
        <v>8</v>
      </c>
      <c r="M384" s="31">
        <f>PK!L13</f>
        <v>0</v>
      </c>
      <c r="N384" s="31">
        <f>PK!M13</f>
        <v>0</v>
      </c>
      <c r="O384" s="31">
        <f>PK!N13</f>
        <v>0</v>
      </c>
      <c r="P384" s="31">
        <f>PK!O13</f>
        <v>0</v>
      </c>
      <c r="Q384" s="31">
        <f>PK!P13</f>
        <v>7785077</v>
      </c>
      <c r="R384" s="31">
        <f>PK!Q13</f>
        <v>0</v>
      </c>
      <c r="S384" s="31">
        <f>PK!R13</f>
        <v>0</v>
      </c>
      <c r="T384" s="31">
        <f>PK!S13</f>
        <v>0</v>
      </c>
      <c r="U384" s="31">
        <f>PK!T13</f>
        <v>-20702874</v>
      </c>
      <c r="V384" s="31">
        <f>PK!U13</f>
        <v>689641</v>
      </c>
      <c r="W384" s="31">
        <f>PK!V13</f>
        <v>93910527</v>
      </c>
      <c r="X384" s="31">
        <f>PK!W13</f>
        <v>0</v>
      </c>
      <c r="Y384" s="31">
        <f>PK!X13</f>
        <v>93910527</v>
      </c>
    </row>
    <row r="385" spans="4:25" ht="12.75">
      <c r="D385" s="4" t="s">
        <v>542</v>
      </c>
      <c r="E385" s="4">
        <v>6</v>
      </c>
      <c r="F385" s="4">
        <f>PK!G14</f>
        <v>5</v>
      </c>
      <c r="G385" s="4">
        <f>IF(PK!H14&lt;&gt;"",PK!H14,"")</f>
      </c>
      <c r="H385" s="30">
        <f t="shared" si="22"/>
        <v>142127.90000000002</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330530</v>
      </c>
      <c r="W385" s="31">
        <f>PK!V14</f>
        <v>330530</v>
      </c>
      <c r="X385" s="31">
        <f>PK!W14</f>
        <v>0</v>
      </c>
      <c r="Y385" s="31">
        <f>PK!X14</f>
        <v>330530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-2958329.26</v>
      </c>
      <c r="I387" s="31">
        <f t="shared" si="23"/>
        <v>0</v>
      </c>
      <c r="J387" s="31">
        <f>PK!I16</f>
        <v>0</v>
      </c>
      <c r="K387" s="31">
        <f>PK!J16</f>
        <v>0</v>
      </c>
      <c r="L387" s="31">
        <f>PK!K16</f>
        <v>0</v>
      </c>
      <c r="M387" s="31">
        <f>PK!L16</f>
        <v>0</v>
      </c>
      <c r="N387" s="31">
        <f>PK!M16</f>
        <v>0</v>
      </c>
      <c r="O387" s="31">
        <f>PK!N16</f>
        <v>0</v>
      </c>
      <c r="P387" s="31">
        <f>PK!O16</f>
        <v>0</v>
      </c>
      <c r="Q387" s="31">
        <f>PK!P16</f>
        <v>-7785077</v>
      </c>
      <c r="R387" s="31">
        <f>PK!Q16</f>
        <v>0</v>
      </c>
      <c r="S387" s="31">
        <f>PK!R16</f>
        <v>0</v>
      </c>
      <c r="T387" s="31">
        <f>PK!S16</f>
        <v>0</v>
      </c>
      <c r="U387" s="31">
        <f>PK!T16</f>
        <v>0</v>
      </c>
      <c r="V387" s="31">
        <f>PK!U16</f>
        <v>0</v>
      </c>
      <c r="W387" s="31">
        <f>PK!V16</f>
        <v>-7785077</v>
      </c>
      <c r="X387" s="31">
        <f>PK!W16</f>
        <v>0</v>
      </c>
      <c r="Y387" s="31">
        <f>PK!X16</f>
        <v>-7785077</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-6896.4100000000035</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689641</v>
      </c>
      <c r="V401" s="31">
        <f>PK!U30</f>
        <v>-689641</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72171965.67999999</v>
      </c>
      <c r="I403" s="31">
        <f t="shared" si="23"/>
        <v>0</v>
      </c>
      <c r="J403" s="31">
        <f>PK!I32</f>
        <v>1000000</v>
      </c>
      <c r="K403" s="31">
        <f>PK!J32</f>
        <v>105138675</v>
      </c>
      <c r="L403" s="31">
        <f>PK!K32</f>
        <v>8</v>
      </c>
      <c r="M403" s="31">
        <f>PK!L32</f>
        <v>0</v>
      </c>
      <c r="N403" s="31">
        <f>PK!M32</f>
        <v>0</v>
      </c>
      <c r="O403" s="31">
        <f>PK!N32</f>
        <v>0</v>
      </c>
      <c r="P403" s="31">
        <f>PK!O32</f>
        <v>0</v>
      </c>
      <c r="Q403" s="31">
        <f>PK!P32</f>
        <v>0</v>
      </c>
      <c r="R403" s="31">
        <f>PK!Q32</f>
        <v>0</v>
      </c>
      <c r="S403" s="31">
        <f>PK!R32</f>
        <v>0</v>
      </c>
      <c r="T403" s="31">
        <f>PK!S32</f>
        <v>0</v>
      </c>
      <c r="U403" s="31">
        <f>PK!T32</f>
        <v>-20013233</v>
      </c>
      <c r="V403" s="31">
        <f>PK!U32</f>
        <v>330530</v>
      </c>
      <c r="W403" s="31">
        <f>PK!V32</f>
        <v>86455980</v>
      </c>
      <c r="X403" s="31">
        <f>PK!W32</f>
        <v>0</v>
      </c>
      <c r="Y403" s="31">
        <f>PK!X32</f>
        <v>86455980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80623059.67999999</v>
      </c>
      <c r="I407" s="31">
        <f t="shared" si="23"/>
        <v>0</v>
      </c>
      <c r="J407" s="31">
        <f>PK!I38</f>
        <v>1000000</v>
      </c>
      <c r="K407" s="31">
        <f>PK!J38</f>
        <v>105138675</v>
      </c>
      <c r="L407" s="31">
        <f>PK!K38</f>
        <v>8</v>
      </c>
      <c r="M407" s="31">
        <f>PK!L38</f>
        <v>0</v>
      </c>
      <c r="N407" s="31">
        <f>PK!M38</f>
        <v>0</v>
      </c>
      <c r="O407" s="31">
        <f>PK!N38</f>
        <v>0</v>
      </c>
      <c r="P407" s="31">
        <f>PK!O38</f>
        <v>0</v>
      </c>
      <c r="Q407" s="31">
        <f>PK!P38</f>
        <v>0</v>
      </c>
      <c r="R407" s="31">
        <f>PK!Q38</f>
        <v>0</v>
      </c>
      <c r="S407" s="31">
        <f>PK!R38</f>
        <v>0</v>
      </c>
      <c r="T407" s="31">
        <f>PK!S38</f>
        <v>0</v>
      </c>
      <c r="U407" s="31">
        <f>PK!T38</f>
        <v>-20013233</v>
      </c>
      <c r="V407" s="31">
        <f>PK!U38</f>
        <v>330530</v>
      </c>
      <c r="W407" s="31">
        <f>PK!V38</f>
        <v>86455980</v>
      </c>
      <c r="X407" s="31">
        <f>PK!W38</f>
        <v>0</v>
      </c>
      <c r="Y407" s="31">
        <f>PK!X38</f>
        <v>86455980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86961380.17999999</v>
      </c>
      <c r="I410" s="31">
        <f t="shared" si="23"/>
        <v>0</v>
      </c>
      <c r="J410" s="31">
        <f>PK!I41</f>
        <v>1000000</v>
      </c>
      <c r="K410" s="31">
        <f>PK!J41</f>
        <v>105138675</v>
      </c>
      <c r="L410" s="31">
        <f>PK!K41</f>
        <v>8</v>
      </c>
      <c r="M410" s="31">
        <f>PK!L41</f>
        <v>0</v>
      </c>
      <c r="N410" s="31">
        <f>PK!M41</f>
        <v>0</v>
      </c>
      <c r="O410" s="31">
        <f>PK!N41</f>
        <v>0</v>
      </c>
      <c r="P410" s="31">
        <f>PK!O41</f>
        <v>0</v>
      </c>
      <c r="Q410" s="31">
        <f>PK!P41</f>
        <v>0</v>
      </c>
      <c r="R410" s="31">
        <f>PK!Q41</f>
        <v>0</v>
      </c>
      <c r="S410" s="31">
        <f>PK!R41</f>
        <v>0</v>
      </c>
      <c r="T410" s="31">
        <f>PK!S41</f>
        <v>0</v>
      </c>
      <c r="U410" s="31">
        <f>PK!T41</f>
        <v>-20013233</v>
      </c>
      <c r="V410" s="31">
        <f>PK!U41</f>
        <v>330530</v>
      </c>
      <c r="W410" s="31">
        <f>PK!V41</f>
        <v>86455980</v>
      </c>
      <c r="X410" s="31">
        <f>PK!W41</f>
        <v>0</v>
      </c>
      <c r="Y410" s="31">
        <f>PK!X41</f>
        <v>86455980</v>
      </c>
    </row>
    <row r="411" spans="4:25" ht="12.75">
      <c r="D411" s="4" t="s">
        <v>542</v>
      </c>
      <c r="E411" s="4">
        <v>6</v>
      </c>
      <c r="F411" s="4">
        <f>PK!G42</f>
        <v>31</v>
      </c>
      <c r="G411" s="4">
        <f>IF(PK!H42&lt;&gt;"",PK!H42,"")</f>
      </c>
      <c r="H411" s="30">
        <f t="shared" si="22"/>
        <v>162258.34999999998</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377345</v>
      </c>
      <c r="W411" s="31">
        <f>PK!V42</f>
        <v>377345</v>
      </c>
      <c r="X411" s="31">
        <f>PK!W42</f>
        <v>0</v>
      </c>
      <c r="Y411" s="31">
        <f>PK!X42</f>
        <v>377345</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-3305.300000000003</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330530</v>
      </c>
      <c r="V427" s="31">
        <f>PK!U58</f>
        <v>-330530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127263029.72999999</v>
      </c>
      <c r="I429" s="31">
        <f t="shared" si="23"/>
        <v>0</v>
      </c>
      <c r="J429" s="31">
        <f>PK!I60</f>
        <v>1000000</v>
      </c>
      <c r="K429" s="31">
        <f>PK!J60</f>
        <v>105138675</v>
      </c>
      <c r="L429" s="31">
        <f>PK!K60</f>
        <v>8</v>
      </c>
      <c r="M429" s="31">
        <f>PK!L60</f>
        <v>0</v>
      </c>
      <c r="N429" s="31">
        <f>PK!M60</f>
        <v>0</v>
      </c>
      <c r="O429" s="31">
        <f>PK!N60</f>
        <v>0</v>
      </c>
      <c r="P429" s="31">
        <f>PK!O60</f>
        <v>0</v>
      </c>
      <c r="Q429" s="31">
        <f>PK!P60</f>
        <v>0</v>
      </c>
      <c r="R429" s="31">
        <f>PK!Q60</f>
        <v>0</v>
      </c>
      <c r="S429" s="31">
        <f>PK!R60</f>
        <v>0</v>
      </c>
      <c r="T429" s="31">
        <f>PK!S60</f>
        <v>0</v>
      </c>
      <c r="U429" s="31">
        <f>PK!T60</f>
        <v>-19682703</v>
      </c>
      <c r="V429" s="31">
        <f>PK!U60</f>
        <v>377345</v>
      </c>
      <c r="W429" s="31">
        <f>PK!V60</f>
        <v>86833325</v>
      </c>
      <c r="X429" s="31">
        <f>PK!W60</f>
        <v>0</v>
      </c>
      <c r="Y429" s="31">
        <f>PK!X60</f>
        <v>86833325</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8" activePane="bottomLeft" state="frozen"/>
      <selection pane="topLeft" activeCell="A2" sqref="A2"/>
      <selection pane="bottomLeft" activeCell="C71" sqref="C71:J7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VODOOPSKRBA I ODVODNJA ZAGREBAČKE ŽUPANIJE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10858279999</v>
      </c>
      <c r="V3" s="211" t="s">
        <v>2355</v>
      </c>
      <c r="W3" s="232">
        <f>RefStr!C31</f>
        <v>10000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54189804734</v>
      </c>
      <c r="V4" s="211" t="s">
        <v>2356</v>
      </c>
      <c r="W4" s="232" t="str">
        <f>RefStr!F31</f>
        <v>ZAGREB</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02307731</v>
      </c>
      <c r="V5" s="211" t="s">
        <v>2357</v>
      </c>
      <c r="W5" s="232" t="str">
        <f>RefStr!C33</f>
        <v>KOLEDOVČINA ULICA 1</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1</v>
      </c>
      <c r="P6" s="212">
        <f>NT_D!Q2</f>
        <v>1</v>
      </c>
      <c r="Q6" s="232">
        <f>NT_D!Q3</f>
        <v>1</v>
      </c>
      <c r="R6" s="211" t="s">
        <v>1195</v>
      </c>
      <c r="S6" s="232" t="str">
        <f>RefStr!C21</f>
        <v>NE</v>
      </c>
      <c r="T6" s="211" t="s">
        <v>2353</v>
      </c>
      <c r="U6" s="232" t="str">
        <f>RefStr!M27</f>
        <v>080631487</v>
      </c>
      <c r="V6" s="211" t="s">
        <v>2568</v>
      </c>
      <c r="W6" s="232" t="str">
        <f>RefStr!L35</f>
        <v>013942107</v>
      </c>
      <c r="X6" s="211" t="s">
        <v>2514</v>
      </c>
      <c r="Y6" s="232" t="str">
        <f>RefStr!C68</f>
        <v>MARTINA VOZDECKI</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MARTINA.VOZDECKI@VIOZZ.HR</v>
      </c>
      <c r="X7" s="211" t="s">
        <v>2515</v>
      </c>
      <c r="Y7" s="232" t="str">
        <f>RefStr!C70</f>
        <v>013492107</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3600</v>
      </c>
      <c r="X8" s="211" t="s">
        <v>2516</v>
      </c>
      <c r="Y8" s="232" t="str">
        <f>TRIM(UPPER(RefStr!C72))</f>
        <v>MARTINA.VOZDECKI@VIOZZ.HR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114</v>
      </c>
      <c r="Q9" s="231">
        <f>RefStr!F58</f>
        <v>119</v>
      </c>
      <c r="R9" s="211" t="s">
        <v>1860</v>
      </c>
      <c r="S9" s="232">
        <f>IF(RefStr!F4&lt;&gt;"",RefStr!F4,0)</f>
        <v>43465</v>
      </c>
      <c r="T9" s="211" t="s">
        <v>1821</v>
      </c>
      <c r="U9" s="232">
        <f>RefStr!C39</f>
        <v>133</v>
      </c>
      <c r="V9" s="211" t="s">
        <v>1414</v>
      </c>
      <c r="W9" s="232" t="str">
        <f>RefStr!D42</f>
        <v>Skupljanje, pročišćavanje i opskrba vo...</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115</v>
      </c>
      <c r="Q10" s="233">
        <f>RefStr!F56</f>
        <v>119</v>
      </c>
      <c r="R10" s="213" t="s">
        <v>1863</v>
      </c>
      <c r="S10" s="233">
        <f>RefStr!C23</f>
        <v>1</v>
      </c>
      <c r="T10" s="213" t="s">
        <v>2573</v>
      </c>
      <c r="U10" s="233" t="str">
        <f>RefStr!D39</f>
        <v>Zagreb</v>
      </c>
      <c r="V10" s="240"/>
      <c r="W10" s="241"/>
      <c r="X10" s="242" t="s">
        <v>1974</v>
      </c>
      <c r="Y10" s="243">
        <f>RefStr!F12</f>
        <v>2018</v>
      </c>
      <c r="Z10" s="213" t="s">
        <v>209</v>
      </c>
      <c r="AA10" s="233" t="str">
        <f>RefStr!A75</f>
        <v>MASTEN TOMISLAV</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C:\Users\martina.vozdecki\Desktop\REVIZIJA\REVIZIJA 2018\FINANCIJSKI IZVJEŠTAJI\[JAVNA OBJAVA VIO ZŽ 2018_FINAL.xls]RefStr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44"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230773.1</v>
      </c>
    </row>
    <row r="13" spans="4:17" ht="9.75" customHeight="1">
      <c r="D13" s="156"/>
      <c r="E13" s="162"/>
      <c r="H13" s="27"/>
      <c r="I13" s="163"/>
      <c r="J13" s="163"/>
      <c r="K13" s="156"/>
      <c r="L13" s="156"/>
      <c r="M13" s="156"/>
      <c r="N13" s="156"/>
      <c r="P13" s="54" t="s">
        <v>2353</v>
      </c>
      <c r="Q13" s="55">
        <f>INT(VALUE(M27))/50</f>
        <v>1612629.74</v>
      </c>
    </row>
    <row r="14" spans="1:17" ht="15">
      <c r="A14" s="340" t="s">
        <v>2714</v>
      </c>
      <c r="B14" s="340"/>
      <c r="C14" s="340"/>
      <c r="D14" s="164"/>
      <c r="E14" s="165"/>
      <c r="F14" s="338"/>
      <c r="G14" s="339"/>
      <c r="H14" s="339"/>
      <c r="I14" s="156"/>
      <c r="J14" s="346" t="s">
        <v>2100</v>
      </c>
      <c r="K14" s="347"/>
      <c r="L14" s="347"/>
      <c r="M14" s="347"/>
      <c r="N14" s="347"/>
      <c r="P14" s="54" t="s">
        <v>2718</v>
      </c>
      <c r="Q14" s="55">
        <f>INT(VALUE(C27))/100</f>
        <v>541898047.34</v>
      </c>
    </row>
    <row r="15" spans="1:17" ht="19.5" customHeight="1">
      <c r="A15" s="343">
        <f>Skriveni!B59</f>
        <v>10132953058.840002</v>
      </c>
      <c r="B15" s="344"/>
      <c r="C15" s="345"/>
      <c r="D15" s="60"/>
      <c r="E15" s="60"/>
      <c r="F15" s="60"/>
      <c r="G15" s="60"/>
      <c r="H15" s="60"/>
      <c r="I15" s="60"/>
      <c r="J15" s="60"/>
      <c r="K15" s="60"/>
      <c r="L15" s="60"/>
      <c r="M15" s="60"/>
      <c r="N15" s="60"/>
      <c r="P15" s="54" t="s">
        <v>1817</v>
      </c>
      <c r="Q15" s="55">
        <f>LEN(Skriveni!B9)</f>
        <v>49</v>
      </c>
    </row>
    <row r="16" spans="4:17" ht="12.75" customHeight="1">
      <c r="D16" s="60"/>
      <c r="E16" s="60"/>
      <c r="F16" s="60"/>
      <c r="G16" s="60"/>
      <c r="H16" s="60"/>
      <c r="I16" s="60"/>
      <c r="P16" s="54" t="s">
        <v>1818</v>
      </c>
      <c r="Q16" s="55">
        <f>INT(VALUE(C31))/100</f>
        <v>100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19</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2965</v>
      </c>
      <c r="M21" s="285"/>
      <c r="N21" s="286"/>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2962</v>
      </c>
      <c r="D27" s="378"/>
      <c r="E27" s="286"/>
      <c r="F27" s="290" t="s">
        <v>2406</v>
      </c>
      <c r="G27" s="322"/>
      <c r="H27" s="284" t="s">
        <v>2963</v>
      </c>
      <c r="I27" s="289"/>
      <c r="J27" s="290" t="s">
        <v>2099</v>
      </c>
      <c r="K27" s="291"/>
      <c r="L27" s="292"/>
      <c r="M27" s="284" t="s">
        <v>2964</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2953</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10000</v>
      </c>
      <c r="D31" s="329" t="s">
        <v>693</v>
      </c>
      <c r="E31" s="330"/>
      <c r="F31" s="323" t="s">
        <v>2954</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2955</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2956</v>
      </c>
      <c r="D35" s="334"/>
      <c r="E35" s="334"/>
      <c r="F35" s="334"/>
      <c r="G35" s="334"/>
      <c r="H35" s="334"/>
      <c r="I35" s="335"/>
      <c r="J35" s="275" t="s">
        <v>188</v>
      </c>
      <c r="K35" s="278"/>
      <c r="L35" s="284" t="s">
        <v>2957</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133</v>
      </c>
      <c r="D39" s="326" t="str">
        <f>IF(C39="","Šifra grada/općine nije upisana",IF(ISNA(LOOKUP(C39,A177:A732,A177:A732)),"Šifra grada/općine ne postoji",IF(LOOKUP(C39,A177:A732,A177:A732)&lt;&gt;C39,"Šifra grada/općine ne postoji",LOOKUP(C39,A177:A732,B177:B732))))</f>
        <v>Zagreb</v>
      </c>
      <c r="E39" s="327"/>
      <c r="F39" s="327"/>
      <c r="G39" s="327"/>
      <c r="H39" s="314" t="s">
        <v>2222</v>
      </c>
      <c r="I39" s="292"/>
      <c r="J39" s="58">
        <f>IF(C39&gt;0,LOOKUP(C39,A177:A732,C177:C732),"")</f>
        <v>21</v>
      </c>
      <c r="K39" s="315" t="str">
        <f>IF(J39="","Treba prvo upisati šifru grada/općine",LOOKUP(J39,A153:A173,B153:B173))</f>
        <v>GRAD ZAGREB</v>
      </c>
      <c r="L39" s="315"/>
      <c r="M39" s="315"/>
      <c r="N39" s="315"/>
      <c r="P39" s="54" t="s">
        <v>1826</v>
      </c>
      <c r="Q39" s="55">
        <f>C56+2*F56+3*C58+4*F58</f>
        <v>1171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108582799.99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115</v>
      </c>
      <c r="D56" s="272" t="s">
        <v>2898</v>
      </c>
      <c r="E56" s="273"/>
      <c r="F56" s="44">
        <v>119</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114</v>
      </c>
      <c r="D58" s="309" t="s">
        <v>2898</v>
      </c>
      <c r="E58" s="309"/>
      <c r="F58" s="44">
        <v>119</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2958</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2956</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2960</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2" activePane="bottomLeft" state="frozen"/>
      <selection pane="topLeft" activeCell="A1" sqref="A1"/>
      <selection pane="bottomLeft" activeCell="J111" sqref="J11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661042149</v>
      </c>
      <c r="J10" s="70">
        <f>J11+J18+J28+J39+J44</f>
        <v>656010212</v>
      </c>
    </row>
    <row r="11" spans="1:10" ht="13.5" customHeight="1">
      <c r="A11" s="382" t="s">
        <v>1850</v>
      </c>
      <c r="B11" s="382"/>
      <c r="C11" s="382"/>
      <c r="D11" s="382"/>
      <c r="E11" s="382"/>
      <c r="F11" s="382"/>
      <c r="G11" s="19">
        <v>3</v>
      </c>
      <c r="H11" s="20"/>
      <c r="I11" s="70">
        <f>SUM(I12:I17)</f>
        <v>9679485</v>
      </c>
      <c r="J11" s="70">
        <f>SUM(J12:J17)</f>
        <v>13832621</v>
      </c>
    </row>
    <row r="12" spans="1:10" ht="13.5" customHeight="1">
      <c r="A12" s="381" t="s">
        <v>965</v>
      </c>
      <c r="B12" s="381"/>
      <c r="C12" s="381"/>
      <c r="D12" s="381"/>
      <c r="E12" s="381"/>
      <c r="F12" s="381"/>
      <c r="G12" s="19">
        <v>4</v>
      </c>
      <c r="H12" s="20"/>
      <c r="I12" s="71">
        <v>840359</v>
      </c>
      <c r="J12" s="71">
        <v>840359</v>
      </c>
    </row>
    <row r="13" spans="1:10" ht="24.75" customHeight="1">
      <c r="A13" s="381" t="s">
        <v>1810</v>
      </c>
      <c r="B13" s="381"/>
      <c r="C13" s="381"/>
      <c r="D13" s="381"/>
      <c r="E13" s="381"/>
      <c r="F13" s="381"/>
      <c r="G13" s="19">
        <v>5</v>
      </c>
      <c r="H13" s="20"/>
      <c r="I13" s="71">
        <v>325844</v>
      </c>
      <c r="J13" s="71">
        <v>311669</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v>8513282</v>
      </c>
      <c r="J16" s="71">
        <v>12680593</v>
      </c>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651214807</v>
      </c>
      <c r="J18" s="70">
        <f>SUM(J19:J27)</f>
        <v>642044156</v>
      </c>
    </row>
    <row r="19" spans="1:10" ht="13.5" customHeight="1">
      <c r="A19" s="381" t="s">
        <v>2176</v>
      </c>
      <c r="B19" s="381"/>
      <c r="C19" s="381"/>
      <c r="D19" s="381"/>
      <c r="E19" s="381"/>
      <c r="F19" s="381"/>
      <c r="G19" s="19">
        <v>11</v>
      </c>
      <c r="H19" s="20"/>
      <c r="I19" s="71">
        <v>23743396</v>
      </c>
      <c r="J19" s="71">
        <v>24016584</v>
      </c>
    </row>
    <row r="20" spans="1:10" ht="13.5" customHeight="1">
      <c r="A20" s="381" t="s">
        <v>543</v>
      </c>
      <c r="B20" s="381"/>
      <c r="C20" s="381"/>
      <c r="D20" s="381"/>
      <c r="E20" s="381"/>
      <c r="F20" s="381"/>
      <c r="G20" s="19">
        <v>12</v>
      </c>
      <c r="H20" s="20"/>
      <c r="I20" s="71">
        <v>507713207</v>
      </c>
      <c r="J20" s="71">
        <v>512417712</v>
      </c>
    </row>
    <row r="21" spans="1:10" ht="13.5" customHeight="1">
      <c r="A21" s="381" t="s">
        <v>2177</v>
      </c>
      <c r="B21" s="381"/>
      <c r="C21" s="381"/>
      <c r="D21" s="381"/>
      <c r="E21" s="381"/>
      <c r="F21" s="381"/>
      <c r="G21" s="19">
        <v>13</v>
      </c>
      <c r="H21" s="20"/>
      <c r="I21" s="71">
        <v>5600964</v>
      </c>
      <c r="J21" s="71">
        <v>3829495</v>
      </c>
    </row>
    <row r="22" spans="1:10" ht="13.5" customHeight="1">
      <c r="A22" s="381" t="s">
        <v>2290</v>
      </c>
      <c r="B22" s="381"/>
      <c r="C22" s="381"/>
      <c r="D22" s="381"/>
      <c r="E22" s="381"/>
      <c r="F22" s="381"/>
      <c r="G22" s="19">
        <v>14</v>
      </c>
      <c r="H22" s="20"/>
      <c r="I22" s="71">
        <v>1258366</v>
      </c>
      <c r="J22" s="71">
        <v>3497040</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v>306976</v>
      </c>
      <c r="J24" s="71">
        <v>332871</v>
      </c>
    </row>
    <row r="25" spans="1:10" ht="13.5" customHeight="1">
      <c r="A25" s="381" t="s">
        <v>1083</v>
      </c>
      <c r="B25" s="381"/>
      <c r="C25" s="381"/>
      <c r="D25" s="381"/>
      <c r="E25" s="381"/>
      <c r="F25" s="381"/>
      <c r="G25" s="19">
        <v>17</v>
      </c>
      <c r="H25" s="20"/>
      <c r="I25" s="71">
        <v>90269198</v>
      </c>
      <c r="J25" s="71">
        <v>75609124</v>
      </c>
    </row>
    <row r="26" spans="1:10" ht="13.5" customHeight="1">
      <c r="A26" s="381" t="s">
        <v>1084</v>
      </c>
      <c r="B26" s="381"/>
      <c r="C26" s="381"/>
      <c r="D26" s="381"/>
      <c r="E26" s="381"/>
      <c r="F26" s="381"/>
      <c r="G26" s="19">
        <v>18</v>
      </c>
      <c r="H26" s="20"/>
      <c r="I26" s="71">
        <v>61094</v>
      </c>
      <c r="J26" s="71">
        <v>79724</v>
      </c>
    </row>
    <row r="27" spans="1:10" ht="13.5" customHeight="1">
      <c r="A27" s="381" t="s">
        <v>1085</v>
      </c>
      <c r="B27" s="381"/>
      <c r="C27" s="381"/>
      <c r="D27" s="381"/>
      <c r="E27" s="381"/>
      <c r="F27" s="381"/>
      <c r="G27" s="19">
        <v>19</v>
      </c>
      <c r="H27" s="20"/>
      <c r="I27" s="71">
        <v>22261606</v>
      </c>
      <c r="J27" s="71">
        <v>22261606</v>
      </c>
    </row>
    <row r="28" spans="1:10" ht="13.5" customHeight="1">
      <c r="A28" s="382" t="s">
        <v>2644</v>
      </c>
      <c r="B28" s="382"/>
      <c r="C28" s="382"/>
      <c r="D28" s="382"/>
      <c r="E28" s="382"/>
      <c r="F28" s="382"/>
      <c r="G28" s="19">
        <v>20</v>
      </c>
      <c r="H28" s="20"/>
      <c r="I28" s="70">
        <f>SUM(I29:I38)</f>
        <v>147857</v>
      </c>
      <c r="J28" s="70">
        <f>SUM(J29:J38)</f>
        <v>133435</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v>147857</v>
      </c>
      <c r="J36" s="71">
        <v>133435</v>
      </c>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42809204</v>
      </c>
      <c r="J45" s="70">
        <f>J46+J54+J61+J71</f>
        <v>39908611</v>
      </c>
    </row>
    <row r="46" spans="1:10" ht="13.5" customHeight="1">
      <c r="A46" s="382" t="s">
        <v>2647</v>
      </c>
      <c r="B46" s="382"/>
      <c r="C46" s="382"/>
      <c r="D46" s="382"/>
      <c r="E46" s="382"/>
      <c r="F46" s="382"/>
      <c r="G46" s="19">
        <v>38</v>
      </c>
      <c r="H46" s="20"/>
      <c r="I46" s="70">
        <f>SUM(I47:I53)</f>
        <v>1991688</v>
      </c>
      <c r="J46" s="70">
        <f>SUM(J47:J53)</f>
        <v>2317695</v>
      </c>
    </row>
    <row r="47" spans="1:10" ht="13.5" customHeight="1">
      <c r="A47" s="381" t="s">
        <v>970</v>
      </c>
      <c r="B47" s="381"/>
      <c r="C47" s="381"/>
      <c r="D47" s="381"/>
      <c r="E47" s="381"/>
      <c r="F47" s="381"/>
      <c r="G47" s="19">
        <v>39</v>
      </c>
      <c r="H47" s="20"/>
      <c r="I47" s="71">
        <v>1991688</v>
      </c>
      <c r="J47" s="71">
        <v>2317695</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v>0</v>
      </c>
      <c r="J51" s="71">
        <v>0</v>
      </c>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22274430</v>
      </c>
      <c r="J54" s="70">
        <f>SUM(J55:J60)</f>
        <v>14015562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14660748</v>
      </c>
      <c r="J57" s="71">
        <v>12011505</v>
      </c>
    </row>
    <row r="58" spans="1:10" ht="13.5" customHeight="1">
      <c r="A58" s="381" t="s">
        <v>350</v>
      </c>
      <c r="B58" s="381"/>
      <c r="C58" s="381"/>
      <c r="D58" s="381"/>
      <c r="E58" s="381"/>
      <c r="F58" s="381"/>
      <c r="G58" s="19">
        <v>50</v>
      </c>
      <c r="H58" s="20"/>
      <c r="I58" s="71">
        <v>316</v>
      </c>
      <c r="J58" s="71">
        <v>316</v>
      </c>
    </row>
    <row r="59" spans="1:10" ht="13.5" customHeight="1">
      <c r="A59" s="381" t="s">
        <v>351</v>
      </c>
      <c r="B59" s="381"/>
      <c r="C59" s="381"/>
      <c r="D59" s="381"/>
      <c r="E59" s="381"/>
      <c r="F59" s="381"/>
      <c r="G59" s="19">
        <v>51</v>
      </c>
      <c r="H59" s="20"/>
      <c r="I59" s="71">
        <v>277401</v>
      </c>
      <c r="J59" s="71">
        <v>374752</v>
      </c>
    </row>
    <row r="60" spans="1:10" ht="13.5" customHeight="1">
      <c r="A60" s="381" t="s">
        <v>2638</v>
      </c>
      <c r="B60" s="381"/>
      <c r="C60" s="381"/>
      <c r="D60" s="381"/>
      <c r="E60" s="381"/>
      <c r="F60" s="381"/>
      <c r="G60" s="19">
        <v>52</v>
      </c>
      <c r="H60" s="20"/>
      <c r="I60" s="71">
        <v>7335965</v>
      </c>
      <c r="J60" s="71">
        <v>1628989</v>
      </c>
    </row>
    <row r="61" spans="1:10" ht="13.5" customHeight="1">
      <c r="A61" s="382" t="s">
        <v>2649</v>
      </c>
      <c r="B61" s="382"/>
      <c r="C61" s="382"/>
      <c r="D61" s="382"/>
      <c r="E61" s="382"/>
      <c r="F61" s="382"/>
      <c r="G61" s="19">
        <v>53</v>
      </c>
      <c r="H61" s="20"/>
      <c r="I61" s="70">
        <f>SUM(I62:I70)</f>
        <v>1693271</v>
      </c>
      <c r="J61" s="70">
        <f>SUM(J62:J70)</f>
        <v>1702916</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1693271</v>
      </c>
      <c r="J69" s="71">
        <v>1702916</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16849815</v>
      </c>
      <c r="J71" s="71">
        <v>21872438</v>
      </c>
    </row>
    <row r="72" spans="1:10" ht="24.75" customHeight="1">
      <c r="A72" s="383" t="s">
        <v>1558</v>
      </c>
      <c r="B72" s="383"/>
      <c r="C72" s="383"/>
      <c r="D72" s="383"/>
      <c r="E72" s="383"/>
      <c r="F72" s="383"/>
      <c r="G72" s="19">
        <v>64</v>
      </c>
      <c r="H72" s="20"/>
      <c r="I72" s="71">
        <v>17584</v>
      </c>
      <c r="J72" s="71">
        <v>140125</v>
      </c>
    </row>
    <row r="73" spans="1:10" ht="13.5" customHeight="1">
      <c r="A73" s="383" t="s">
        <v>2650</v>
      </c>
      <c r="B73" s="383"/>
      <c r="C73" s="383"/>
      <c r="D73" s="383"/>
      <c r="E73" s="383"/>
      <c r="F73" s="383"/>
      <c r="G73" s="19">
        <v>65</v>
      </c>
      <c r="H73" s="20"/>
      <c r="I73" s="70">
        <f>I9+I10+I45+I72</f>
        <v>703868937</v>
      </c>
      <c r="J73" s="70">
        <f>J9+J10+J45+J72</f>
        <v>696058948</v>
      </c>
    </row>
    <row r="74" spans="1:10" ht="13.5" customHeight="1">
      <c r="A74" s="384" t="s">
        <v>257</v>
      </c>
      <c r="B74" s="384"/>
      <c r="C74" s="384"/>
      <c r="D74" s="384"/>
      <c r="E74" s="384"/>
      <c r="F74" s="384"/>
      <c r="G74" s="21">
        <v>66</v>
      </c>
      <c r="H74" s="22"/>
      <c r="I74" s="72">
        <v>5799469</v>
      </c>
      <c r="J74" s="72">
        <v>5799469</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86455980</v>
      </c>
      <c r="J76" s="70">
        <f>J77+J78+J79+J85+J86+J90+J93+J96</f>
        <v>86833326</v>
      </c>
      <c r="L76" s="2" t="s">
        <v>2591</v>
      </c>
    </row>
    <row r="77" spans="1:10" ht="13.5" customHeight="1">
      <c r="A77" s="382" t="s">
        <v>935</v>
      </c>
      <c r="B77" s="382"/>
      <c r="C77" s="382"/>
      <c r="D77" s="382"/>
      <c r="E77" s="382"/>
      <c r="F77" s="382"/>
      <c r="G77" s="19">
        <v>68</v>
      </c>
      <c r="H77" s="20"/>
      <c r="I77" s="71">
        <v>1000000</v>
      </c>
      <c r="J77" s="71">
        <v>1000000</v>
      </c>
    </row>
    <row r="78" spans="1:12" ht="13.5" customHeight="1">
      <c r="A78" s="382" t="s">
        <v>936</v>
      </c>
      <c r="B78" s="382"/>
      <c r="C78" s="382"/>
      <c r="D78" s="382"/>
      <c r="E78" s="382"/>
      <c r="F78" s="382"/>
      <c r="G78" s="19">
        <v>69</v>
      </c>
      <c r="H78" s="20"/>
      <c r="I78" s="71">
        <v>105138675</v>
      </c>
      <c r="J78" s="71">
        <v>105138675</v>
      </c>
      <c r="L78" s="2" t="s">
        <v>2591</v>
      </c>
    </row>
    <row r="79" spans="1:12" ht="13.5" customHeight="1">
      <c r="A79" s="382" t="s">
        <v>2473</v>
      </c>
      <c r="B79" s="382"/>
      <c r="C79" s="382"/>
      <c r="D79" s="382"/>
      <c r="E79" s="382"/>
      <c r="F79" s="382"/>
      <c r="G79" s="19">
        <v>70</v>
      </c>
      <c r="H79" s="20"/>
      <c r="I79" s="70">
        <f>I80+I81-I82+I83+I84</f>
        <v>8</v>
      </c>
      <c r="J79" s="70">
        <f>J80+J81-J82+J83+J84</f>
        <v>8</v>
      </c>
      <c r="L79" s="2" t="s">
        <v>2591</v>
      </c>
    </row>
    <row r="80" spans="1:10" ht="13.5" customHeight="1">
      <c r="A80" s="381" t="s">
        <v>2641</v>
      </c>
      <c r="B80" s="381"/>
      <c r="C80" s="381"/>
      <c r="D80" s="381"/>
      <c r="E80" s="381"/>
      <c r="F80" s="381"/>
      <c r="G80" s="19">
        <v>71</v>
      </c>
      <c r="H80" s="20"/>
      <c r="I80" s="71">
        <v>8</v>
      </c>
      <c r="J80" s="71">
        <v>8</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v>0</v>
      </c>
      <c r="J85" s="71">
        <v>0</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-20013233</v>
      </c>
      <c r="J90" s="70">
        <f>J91-J92</f>
        <v>-19682702</v>
      </c>
      <c r="L90" s="2" t="s">
        <v>2591</v>
      </c>
    </row>
    <row r="91" spans="1:10" ht="13.5" customHeight="1">
      <c r="A91" s="381" t="s">
        <v>1139</v>
      </c>
      <c r="B91" s="381"/>
      <c r="C91" s="381"/>
      <c r="D91" s="381"/>
      <c r="E91" s="381"/>
      <c r="F91" s="381"/>
      <c r="G91" s="19">
        <v>82</v>
      </c>
      <c r="H91" s="20"/>
      <c r="I91" s="71">
        <v>3635344</v>
      </c>
      <c r="J91" s="71">
        <v>3635344</v>
      </c>
    </row>
    <row r="92" spans="1:10" ht="13.5" customHeight="1">
      <c r="A92" s="381" t="s">
        <v>1140</v>
      </c>
      <c r="B92" s="381"/>
      <c r="C92" s="381"/>
      <c r="D92" s="381"/>
      <c r="E92" s="381"/>
      <c r="F92" s="381"/>
      <c r="G92" s="19">
        <v>83</v>
      </c>
      <c r="H92" s="20"/>
      <c r="I92" s="71">
        <v>23648577</v>
      </c>
      <c r="J92" s="71">
        <v>23318046</v>
      </c>
    </row>
    <row r="93" spans="1:12" ht="13.5" customHeight="1">
      <c r="A93" s="382" t="s">
        <v>2653</v>
      </c>
      <c r="B93" s="382"/>
      <c r="C93" s="382"/>
      <c r="D93" s="382"/>
      <c r="E93" s="382"/>
      <c r="F93" s="382"/>
      <c r="G93" s="19">
        <v>84</v>
      </c>
      <c r="H93" s="20"/>
      <c r="I93" s="70">
        <f>I94-I95</f>
        <v>330530</v>
      </c>
      <c r="J93" s="70">
        <f>J94-J95</f>
        <v>377345</v>
      </c>
      <c r="L93" s="2" t="s">
        <v>2591</v>
      </c>
    </row>
    <row r="94" spans="1:10" ht="13.5" customHeight="1">
      <c r="A94" s="381" t="s">
        <v>2640</v>
      </c>
      <c r="B94" s="381"/>
      <c r="C94" s="381"/>
      <c r="D94" s="381"/>
      <c r="E94" s="381"/>
      <c r="F94" s="381"/>
      <c r="G94" s="19">
        <v>85</v>
      </c>
      <c r="H94" s="20"/>
      <c r="I94" s="71">
        <v>330530</v>
      </c>
      <c r="J94" s="71">
        <v>377345</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3412145</v>
      </c>
      <c r="J104" s="70">
        <f>SUM(J105:J115)</f>
        <v>3143674</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2933145</v>
      </c>
      <c r="J110" s="71">
        <v>2164674</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v>479000</v>
      </c>
      <c r="J112" s="71">
        <v>479000</v>
      </c>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v>500000</v>
      </c>
    </row>
    <row r="115" spans="1:10" ht="13.5" customHeight="1">
      <c r="A115" s="381" t="s">
        <v>503</v>
      </c>
      <c r="B115" s="381"/>
      <c r="C115" s="381"/>
      <c r="D115" s="381"/>
      <c r="E115" s="381"/>
      <c r="F115" s="381"/>
      <c r="G115" s="19">
        <v>106</v>
      </c>
      <c r="H115" s="20"/>
      <c r="I115" s="71">
        <v>0</v>
      </c>
      <c r="J115" s="71">
        <v>0</v>
      </c>
    </row>
    <row r="116" spans="1:10" ht="13.5" customHeight="1">
      <c r="A116" s="383" t="s">
        <v>2656</v>
      </c>
      <c r="B116" s="383"/>
      <c r="C116" s="383"/>
      <c r="D116" s="383"/>
      <c r="E116" s="383"/>
      <c r="F116" s="383"/>
      <c r="G116" s="19">
        <v>107</v>
      </c>
      <c r="H116" s="20"/>
      <c r="I116" s="70">
        <f>SUM(I117:I130)</f>
        <v>42632193</v>
      </c>
      <c r="J116" s="70">
        <f>SUM(J117:J130)</f>
        <v>37833722</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1404906</v>
      </c>
      <c r="J122" s="71">
        <v>707775</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30069081</v>
      </c>
      <c r="J124" s="71">
        <v>24382003</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795529</v>
      </c>
      <c r="J126" s="71">
        <v>859580</v>
      </c>
    </row>
    <row r="127" spans="1:10" ht="13.5" customHeight="1">
      <c r="A127" s="381" t="s">
        <v>364</v>
      </c>
      <c r="B127" s="381"/>
      <c r="C127" s="381"/>
      <c r="D127" s="381"/>
      <c r="E127" s="381"/>
      <c r="F127" s="381"/>
      <c r="G127" s="19">
        <v>118</v>
      </c>
      <c r="H127" s="20"/>
      <c r="I127" s="71">
        <v>946041</v>
      </c>
      <c r="J127" s="71">
        <v>755069</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9416636</v>
      </c>
      <c r="J130" s="71">
        <v>11129295</v>
      </c>
    </row>
    <row r="131" spans="1:10" ht="24.75" customHeight="1">
      <c r="A131" s="383" t="s">
        <v>1560</v>
      </c>
      <c r="B131" s="383"/>
      <c r="C131" s="383"/>
      <c r="D131" s="383"/>
      <c r="E131" s="383"/>
      <c r="F131" s="383"/>
      <c r="G131" s="19">
        <v>122</v>
      </c>
      <c r="H131" s="20"/>
      <c r="I131" s="71">
        <v>571368619</v>
      </c>
      <c r="J131" s="71">
        <v>568248226</v>
      </c>
    </row>
    <row r="132" spans="1:10" ht="13.5" customHeight="1">
      <c r="A132" s="383" t="s">
        <v>2657</v>
      </c>
      <c r="B132" s="383"/>
      <c r="C132" s="383"/>
      <c r="D132" s="383"/>
      <c r="E132" s="383"/>
      <c r="F132" s="383"/>
      <c r="G132" s="19">
        <v>123</v>
      </c>
      <c r="H132" s="20"/>
      <c r="I132" s="70">
        <f>I76+I97+I104+I116+I131</f>
        <v>703868937</v>
      </c>
      <c r="J132" s="70">
        <f>J76+J97+J104+J116+J131</f>
        <v>696058948</v>
      </c>
    </row>
    <row r="133" spans="1:10" ht="13.5" customHeight="1">
      <c r="A133" s="384" t="s">
        <v>662</v>
      </c>
      <c r="B133" s="384"/>
      <c r="C133" s="384"/>
      <c r="D133" s="384"/>
      <c r="E133" s="384"/>
      <c r="F133" s="384"/>
      <c r="G133" s="21">
        <v>124</v>
      </c>
      <c r="H133" s="22"/>
      <c r="I133" s="72">
        <v>5799469</v>
      </c>
      <c r="J133" s="72">
        <v>5799469</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J13" sqref="J1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54189804734; VODOOPSKRBA I ODVODNJA ZAGREBAČKE ŽUPANIJE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53712704</v>
      </c>
      <c r="J8" s="84">
        <f>SUM(J9:J13)</f>
        <v>57306777</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40351907</v>
      </c>
      <c r="J10" s="71">
        <v>39221076</v>
      </c>
    </row>
    <row r="11" spans="1:10" s="2" customFormat="1" ht="13.5" customHeight="1">
      <c r="A11" s="381" t="s">
        <v>1435</v>
      </c>
      <c r="B11" s="381"/>
      <c r="C11" s="381"/>
      <c r="D11" s="381"/>
      <c r="E11" s="381"/>
      <c r="F11" s="381"/>
      <c r="G11" s="19">
        <v>128</v>
      </c>
      <c r="H11" s="20"/>
      <c r="I11" s="71">
        <v>23178</v>
      </c>
      <c r="J11" s="71">
        <v>22283</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13337619</v>
      </c>
      <c r="J13" s="71">
        <v>18063418</v>
      </c>
    </row>
    <row r="14" spans="1:10" s="2" customFormat="1" ht="13.5" customHeight="1">
      <c r="A14" s="383" t="s">
        <v>1837</v>
      </c>
      <c r="B14" s="383"/>
      <c r="C14" s="383"/>
      <c r="D14" s="383"/>
      <c r="E14" s="383"/>
      <c r="F14" s="383"/>
      <c r="G14" s="19">
        <v>131</v>
      </c>
      <c r="H14" s="20"/>
      <c r="I14" s="70">
        <f>I15+I16+I20+I24+I25+I26+I29+I36</f>
        <v>53476395</v>
      </c>
      <c r="J14" s="70">
        <f>J15+J16+J20+J24+J25+J26+J29+J36</f>
        <v>57130667</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20089339</v>
      </c>
      <c r="J16" s="70">
        <f>SUM(J17:J19)</f>
        <v>19567373</v>
      </c>
    </row>
    <row r="17" spans="1:10" s="2" customFormat="1" ht="13.5" customHeight="1">
      <c r="A17" s="410" t="s">
        <v>504</v>
      </c>
      <c r="B17" s="410"/>
      <c r="C17" s="410"/>
      <c r="D17" s="410"/>
      <c r="E17" s="410"/>
      <c r="F17" s="410"/>
      <c r="G17" s="19">
        <v>134</v>
      </c>
      <c r="H17" s="20"/>
      <c r="I17" s="71">
        <v>4133415</v>
      </c>
      <c r="J17" s="71">
        <v>4260317</v>
      </c>
    </row>
    <row r="18" spans="1:10" s="2" customFormat="1" ht="13.5" customHeight="1">
      <c r="A18" s="410" t="s">
        <v>505</v>
      </c>
      <c r="B18" s="410"/>
      <c r="C18" s="410"/>
      <c r="D18" s="410"/>
      <c r="E18" s="410"/>
      <c r="F18" s="410"/>
      <c r="G18" s="19">
        <v>135</v>
      </c>
      <c r="H18" s="20"/>
      <c r="I18" s="71">
        <v>9132739</v>
      </c>
      <c r="J18" s="71">
        <v>8665781</v>
      </c>
    </row>
    <row r="19" spans="1:10" s="2" customFormat="1" ht="13.5" customHeight="1">
      <c r="A19" s="410" t="s">
        <v>1426</v>
      </c>
      <c r="B19" s="410"/>
      <c r="C19" s="410"/>
      <c r="D19" s="410"/>
      <c r="E19" s="410"/>
      <c r="F19" s="410"/>
      <c r="G19" s="19">
        <v>136</v>
      </c>
      <c r="H19" s="20"/>
      <c r="I19" s="71">
        <v>6823185</v>
      </c>
      <c r="J19" s="71">
        <v>6641275</v>
      </c>
    </row>
    <row r="20" spans="1:10" s="2" customFormat="1" ht="13.5" customHeight="1">
      <c r="A20" s="381" t="s">
        <v>1839</v>
      </c>
      <c r="B20" s="381"/>
      <c r="C20" s="381"/>
      <c r="D20" s="381"/>
      <c r="E20" s="381"/>
      <c r="F20" s="381"/>
      <c r="G20" s="19">
        <v>137</v>
      </c>
      <c r="H20" s="20"/>
      <c r="I20" s="70">
        <f>SUM(I21:I23)</f>
        <v>14401767</v>
      </c>
      <c r="J20" s="70">
        <f>SUM(J21:J23)</f>
        <v>14757476</v>
      </c>
    </row>
    <row r="21" spans="1:10" s="2" customFormat="1" ht="13.5" customHeight="1">
      <c r="A21" s="410" t="s">
        <v>724</v>
      </c>
      <c r="B21" s="410"/>
      <c r="C21" s="410"/>
      <c r="D21" s="410"/>
      <c r="E21" s="410"/>
      <c r="F21" s="410"/>
      <c r="G21" s="19">
        <v>138</v>
      </c>
      <c r="H21" s="20"/>
      <c r="I21" s="71">
        <v>9011622</v>
      </c>
      <c r="J21" s="71">
        <v>9171901</v>
      </c>
    </row>
    <row r="22" spans="1:10" s="2" customFormat="1" ht="13.5" customHeight="1">
      <c r="A22" s="410" t="s">
        <v>961</v>
      </c>
      <c r="B22" s="410"/>
      <c r="C22" s="410"/>
      <c r="D22" s="410"/>
      <c r="E22" s="410"/>
      <c r="F22" s="410"/>
      <c r="G22" s="19">
        <v>139</v>
      </c>
      <c r="H22" s="20"/>
      <c r="I22" s="71">
        <v>3289930</v>
      </c>
      <c r="J22" s="71">
        <v>3462809</v>
      </c>
    </row>
    <row r="23" spans="1:10" s="2" customFormat="1" ht="13.5" customHeight="1">
      <c r="A23" s="410" t="s">
        <v>962</v>
      </c>
      <c r="B23" s="410"/>
      <c r="C23" s="410"/>
      <c r="D23" s="410"/>
      <c r="E23" s="410"/>
      <c r="F23" s="410"/>
      <c r="G23" s="19">
        <v>140</v>
      </c>
      <c r="H23" s="20"/>
      <c r="I23" s="71">
        <v>2100215</v>
      </c>
      <c r="J23" s="71">
        <v>2122766</v>
      </c>
    </row>
    <row r="24" spans="1:10" s="2" customFormat="1" ht="13.5" customHeight="1">
      <c r="A24" s="381" t="s">
        <v>259</v>
      </c>
      <c r="B24" s="381"/>
      <c r="C24" s="381"/>
      <c r="D24" s="381"/>
      <c r="E24" s="381"/>
      <c r="F24" s="381"/>
      <c r="G24" s="19">
        <v>141</v>
      </c>
      <c r="H24" s="20"/>
      <c r="I24" s="71">
        <v>14855521</v>
      </c>
      <c r="J24" s="71">
        <v>17684245</v>
      </c>
    </row>
    <row r="25" spans="1:10" s="2" customFormat="1" ht="13.5" customHeight="1">
      <c r="A25" s="381" t="s">
        <v>260</v>
      </c>
      <c r="B25" s="381"/>
      <c r="C25" s="381"/>
      <c r="D25" s="381"/>
      <c r="E25" s="381"/>
      <c r="F25" s="381"/>
      <c r="G25" s="19">
        <v>142</v>
      </c>
      <c r="H25" s="20"/>
      <c r="I25" s="71">
        <v>2994143</v>
      </c>
      <c r="J25" s="71">
        <v>2841545</v>
      </c>
    </row>
    <row r="26" spans="1:12" s="2" customFormat="1" ht="13.5" customHeight="1">
      <c r="A26" s="381" t="s">
        <v>1840</v>
      </c>
      <c r="B26" s="381"/>
      <c r="C26" s="381"/>
      <c r="D26" s="381"/>
      <c r="E26" s="381"/>
      <c r="F26" s="381"/>
      <c r="G26" s="19">
        <v>143</v>
      </c>
      <c r="H26" s="20"/>
      <c r="I26" s="70">
        <f>SUM(I27:I28)</f>
        <v>966551</v>
      </c>
      <c r="J26" s="70">
        <f>SUM(J27:J28)</f>
        <v>1538810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966551</v>
      </c>
      <c r="J28" s="71">
        <v>1538810</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169074</v>
      </c>
      <c r="J36" s="71">
        <v>741218</v>
      </c>
    </row>
    <row r="37" spans="1:10" s="2" customFormat="1" ht="13.5" customHeight="1">
      <c r="A37" s="383" t="s">
        <v>1842</v>
      </c>
      <c r="B37" s="383"/>
      <c r="C37" s="383"/>
      <c r="D37" s="383"/>
      <c r="E37" s="383"/>
      <c r="F37" s="383"/>
      <c r="G37" s="19">
        <v>154</v>
      </c>
      <c r="H37" s="20"/>
      <c r="I37" s="70">
        <f>SUM(I38:I47)</f>
        <v>191993</v>
      </c>
      <c r="J37" s="70">
        <f>SUM(J38:J47)</f>
        <v>226322</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180485</v>
      </c>
      <c r="J44" s="71">
        <v>181365</v>
      </c>
    </row>
    <row r="45" spans="1:10" s="2" customFormat="1" ht="13.5" customHeight="1">
      <c r="A45" s="381" t="s">
        <v>1428</v>
      </c>
      <c r="B45" s="381"/>
      <c r="C45" s="381"/>
      <c r="D45" s="381"/>
      <c r="E45" s="381"/>
      <c r="F45" s="381"/>
      <c r="G45" s="19">
        <v>162</v>
      </c>
      <c r="H45" s="20"/>
      <c r="I45" s="71">
        <v>11508</v>
      </c>
      <c r="J45" s="71">
        <v>44957</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97772</v>
      </c>
      <c r="J48" s="70">
        <f>SUM(J49:J55)</f>
        <v>25087</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97772</v>
      </c>
      <c r="J51" s="71">
        <v>25087</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53904697</v>
      </c>
      <c r="J60" s="70">
        <f>J8+J37+J56+J57</f>
        <v>57533099</v>
      </c>
    </row>
    <row r="61" spans="1:10" s="2" customFormat="1" ht="13.5" customHeight="1">
      <c r="A61" s="383" t="s">
        <v>1845</v>
      </c>
      <c r="B61" s="383"/>
      <c r="C61" s="383"/>
      <c r="D61" s="383"/>
      <c r="E61" s="383"/>
      <c r="F61" s="383"/>
      <c r="G61" s="19">
        <v>178</v>
      </c>
      <c r="H61" s="20"/>
      <c r="I61" s="70">
        <f>I14+I48+I58+I59</f>
        <v>53574167</v>
      </c>
      <c r="J61" s="70">
        <f>J14+J48+J58+J59</f>
        <v>57155754</v>
      </c>
    </row>
    <row r="62" spans="1:12" s="2" customFormat="1" ht="13.5" customHeight="1">
      <c r="A62" s="383" t="s">
        <v>2581</v>
      </c>
      <c r="B62" s="383"/>
      <c r="C62" s="383"/>
      <c r="D62" s="383"/>
      <c r="E62" s="383"/>
      <c r="F62" s="383"/>
      <c r="G62" s="19">
        <v>179</v>
      </c>
      <c r="H62" s="20"/>
      <c r="I62" s="70">
        <f>I60-I61</f>
        <v>330530</v>
      </c>
      <c r="J62" s="70">
        <f>J60-J61</f>
        <v>377345</v>
      </c>
      <c r="L62" s="2" t="s">
        <v>2591</v>
      </c>
    </row>
    <row r="63" spans="1:10" s="2" customFormat="1" ht="13.5" customHeight="1">
      <c r="A63" s="404" t="s">
        <v>2658</v>
      </c>
      <c r="B63" s="404"/>
      <c r="C63" s="404"/>
      <c r="D63" s="404"/>
      <c r="E63" s="404"/>
      <c r="F63" s="404"/>
      <c r="G63" s="19">
        <v>180</v>
      </c>
      <c r="H63" s="20"/>
      <c r="I63" s="70">
        <f>IF(I60&gt;I61,I60-I61,0)</f>
        <v>330530</v>
      </c>
      <c r="J63" s="70">
        <f>IF(J60&gt;J61,J60-J61,0)</f>
        <v>377345</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330530</v>
      </c>
      <c r="J66" s="70">
        <f>J62-J65</f>
        <v>377345</v>
      </c>
      <c r="L66" s="2" t="s">
        <v>2591</v>
      </c>
    </row>
    <row r="67" spans="1:10" s="2" customFormat="1" ht="13.5" customHeight="1">
      <c r="A67" s="404" t="s">
        <v>779</v>
      </c>
      <c r="B67" s="404"/>
      <c r="C67" s="404"/>
      <c r="D67" s="404"/>
      <c r="E67" s="404"/>
      <c r="F67" s="404"/>
      <c r="G67" s="19">
        <v>184</v>
      </c>
      <c r="H67" s="20"/>
      <c r="I67" s="70">
        <f>IF(I66&gt;0,I66,0)</f>
        <v>330530</v>
      </c>
      <c r="J67" s="70">
        <f>IF(J66&gt;0,J66,0)</f>
        <v>377345</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9" sqref="J19"/>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54189804734; VODOOPSKRBA I ODVODNJA ZAGREBAČKE ŽUPANIJE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16" activePane="bottomLeft" state="frozen"/>
      <selection pane="topLeft" activeCell="A1" sqref="A1"/>
      <selection pane="bottomLeft" activeCell="J38" sqref="J38"/>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43" t="s">
        <v>1455</v>
      </c>
      <c r="B2" s="444"/>
      <c r="C2" s="444"/>
      <c r="D2" s="444"/>
      <c r="E2" s="444"/>
      <c r="F2" s="444"/>
      <c r="G2" s="444"/>
      <c r="H2" s="444"/>
      <c r="I2" s="445"/>
      <c r="J2" s="385" t="s">
        <v>2595</v>
      </c>
      <c r="Q2" s="74">
        <f>IF(OR(MIN(I8:I52)&lt;0,MAX(I8:I52)&gt;0),1,0)</f>
        <v>1</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v>66652617</v>
      </c>
      <c r="J9" s="94">
        <v>75891806</v>
      </c>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v>3310</v>
      </c>
    </row>
    <row r="12" spans="1:10" s="2" customFormat="1" ht="13.5" customHeight="1">
      <c r="A12" s="404" t="s">
        <v>2530</v>
      </c>
      <c r="B12" s="404"/>
      <c r="C12" s="404"/>
      <c r="D12" s="404"/>
      <c r="E12" s="404"/>
      <c r="F12" s="404"/>
      <c r="G12" s="19">
        <v>4</v>
      </c>
      <c r="H12" s="23"/>
      <c r="I12" s="77"/>
      <c r="J12" s="77">
        <v>14496</v>
      </c>
    </row>
    <row r="13" spans="1:10" s="2" customFormat="1" ht="13.5" customHeight="1">
      <c r="A13" s="404" t="s">
        <v>1419</v>
      </c>
      <c r="B13" s="404"/>
      <c r="C13" s="404"/>
      <c r="D13" s="404"/>
      <c r="E13" s="404"/>
      <c r="F13" s="404"/>
      <c r="G13" s="19">
        <v>5</v>
      </c>
      <c r="H13" s="23"/>
      <c r="I13" s="77">
        <v>-32575380</v>
      </c>
      <c r="J13" s="77">
        <v>-39060227</v>
      </c>
    </row>
    <row r="14" spans="1:10" s="2" customFormat="1" ht="13.5" customHeight="1">
      <c r="A14" s="404" t="s">
        <v>1420</v>
      </c>
      <c r="B14" s="404"/>
      <c r="C14" s="404"/>
      <c r="D14" s="404"/>
      <c r="E14" s="404"/>
      <c r="F14" s="404"/>
      <c r="G14" s="19">
        <v>6</v>
      </c>
      <c r="H14" s="23"/>
      <c r="I14" s="77">
        <v>-15650673</v>
      </c>
      <c r="J14" s="77">
        <v>-14967534</v>
      </c>
    </row>
    <row r="15" spans="1:10" s="2" customFormat="1" ht="13.5" customHeight="1">
      <c r="A15" s="404" t="s">
        <v>1421</v>
      </c>
      <c r="B15" s="404"/>
      <c r="C15" s="404"/>
      <c r="D15" s="404"/>
      <c r="E15" s="404"/>
      <c r="F15" s="404"/>
      <c r="G15" s="19">
        <v>7</v>
      </c>
      <c r="H15" s="23"/>
      <c r="I15" s="77">
        <v>-229052</v>
      </c>
      <c r="J15" s="77"/>
    </row>
    <row r="16" spans="1:10" s="2" customFormat="1" ht="13.5" customHeight="1">
      <c r="A16" s="404" t="s">
        <v>1422</v>
      </c>
      <c r="B16" s="404"/>
      <c r="C16" s="404"/>
      <c r="D16" s="404"/>
      <c r="E16" s="404"/>
      <c r="F16" s="404"/>
      <c r="G16" s="19">
        <v>8</v>
      </c>
      <c r="H16" s="23"/>
      <c r="I16" s="77">
        <v>-4935479</v>
      </c>
      <c r="J16" s="77">
        <v>-18045544</v>
      </c>
    </row>
    <row r="17" spans="1:10" s="2" customFormat="1" ht="13.5" customHeight="1">
      <c r="A17" s="405" t="s">
        <v>2525</v>
      </c>
      <c r="B17" s="405"/>
      <c r="C17" s="405"/>
      <c r="D17" s="405"/>
      <c r="E17" s="405"/>
      <c r="F17" s="405"/>
      <c r="G17" s="19">
        <v>9</v>
      </c>
      <c r="H17" s="23"/>
      <c r="I17" s="86">
        <f>SUM(I9:I16)</f>
        <v>13262033</v>
      </c>
      <c r="J17" s="86">
        <f>SUM(J9:J16)</f>
        <v>3836307</v>
      </c>
    </row>
    <row r="18" spans="1:10" s="2" customFormat="1" ht="13.5" customHeight="1">
      <c r="A18" s="404" t="s">
        <v>1829</v>
      </c>
      <c r="B18" s="404"/>
      <c r="C18" s="404"/>
      <c r="D18" s="404"/>
      <c r="E18" s="404"/>
      <c r="F18" s="404"/>
      <c r="G18" s="19">
        <v>10</v>
      </c>
      <c r="H18" s="23"/>
      <c r="I18" s="77">
        <v>-70338</v>
      </c>
      <c r="J18" s="77">
        <v>-25087</v>
      </c>
    </row>
    <row r="19" spans="1:10" s="2" customFormat="1" ht="13.5" customHeight="1">
      <c r="A19" s="404" t="s">
        <v>2526</v>
      </c>
      <c r="B19" s="404"/>
      <c r="C19" s="404"/>
      <c r="D19" s="404"/>
      <c r="E19" s="404"/>
      <c r="F19" s="404"/>
      <c r="G19" s="19">
        <v>11</v>
      </c>
      <c r="H19" s="23"/>
      <c r="I19" s="77"/>
      <c r="J19" s="77">
        <v>-12972</v>
      </c>
    </row>
    <row r="20" spans="1:10" s="2" customFormat="1" ht="15" customHeight="1">
      <c r="A20" s="455" t="s">
        <v>10</v>
      </c>
      <c r="B20" s="455"/>
      <c r="C20" s="455"/>
      <c r="D20" s="455"/>
      <c r="E20" s="455"/>
      <c r="F20" s="455"/>
      <c r="G20" s="21">
        <v>12</v>
      </c>
      <c r="H20" s="24"/>
      <c r="I20" s="87">
        <f>SUM(I17:I19)</f>
        <v>13191695</v>
      </c>
      <c r="J20" s="87">
        <f>SUM(J17:J19)</f>
        <v>3798248</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v>180485</v>
      </c>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v>4834598</v>
      </c>
    </row>
    <row r="28" spans="1:10" s="2" customFormat="1" ht="15" customHeight="1">
      <c r="A28" s="405" t="s">
        <v>2118</v>
      </c>
      <c r="B28" s="405"/>
      <c r="C28" s="405"/>
      <c r="D28" s="405"/>
      <c r="E28" s="405"/>
      <c r="F28" s="405"/>
      <c r="G28" s="19">
        <v>19</v>
      </c>
      <c r="H28" s="23"/>
      <c r="I28" s="86">
        <f>SUM(I22:I27)</f>
        <v>180485</v>
      </c>
      <c r="J28" s="86">
        <f>SUM(J22:J27)</f>
        <v>4834598</v>
      </c>
    </row>
    <row r="29" spans="1:10" s="2" customFormat="1" ht="15" customHeight="1">
      <c r="A29" s="404" t="s">
        <v>442</v>
      </c>
      <c r="B29" s="404"/>
      <c r="C29" s="404"/>
      <c r="D29" s="404"/>
      <c r="E29" s="404"/>
      <c r="F29" s="404"/>
      <c r="G29" s="19">
        <v>20</v>
      </c>
      <c r="H29" s="23"/>
      <c r="I29" s="77">
        <v>-7090682</v>
      </c>
      <c r="J29" s="77">
        <v>-2197476</v>
      </c>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v>-192835</v>
      </c>
      <c r="J31" s="77">
        <v>-9644</v>
      </c>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-7283517</v>
      </c>
      <c r="J34" s="86">
        <f>SUM(J29:J33)</f>
        <v>-2207120</v>
      </c>
    </row>
    <row r="35" spans="1:10" s="2" customFormat="1" ht="15" customHeight="1">
      <c r="A35" s="455" t="s">
        <v>11</v>
      </c>
      <c r="B35" s="455"/>
      <c r="C35" s="455"/>
      <c r="D35" s="455"/>
      <c r="E35" s="455"/>
      <c r="F35" s="455"/>
      <c r="G35" s="21">
        <v>26</v>
      </c>
      <c r="H35" s="24"/>
      <c r="I35" s="87">
        <f>I28+I34</f>
        <v>-7103032</v>
      </c>
      <c r="J35" s="87">
        <f>J28+J34</f>
        <v>2627478</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v>-2124832</v>
      </c>
      <c r="J42" s="77">
        <v>-1403103</v>
      </c>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-2124832</v>
      </c>
      <c r="J47" s="86">
        <f>SUM(J42:J46)</f>
        <v>-1403103</v>
      </c>
    </row>
    <row r="48" spans="1:10" s="2" customFormat="1" ht="15" customHeight="1">
      <c r="A48" s="409" t="s">
        <v>12</v>
      </c>
      <c r="B48" s="409"/>
      <c r="C48" s="409"/>
      <c r="D48" s="409"/>
      <c r="E48" s="409"/>
      <c r="F48" s="409"/>
      <c r="G48" s="19">
        <v>38</v>
      </c>
      <c r="H48" s="23"/>
      <c r="I48" s="86">
        <f>I41+I47</f>
        <v>-2124832</v>
      </c>
      <c r="J48" s="86">
        <f>J41+J47</f>
        <v>-1403103</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3963831</v>
      </c>
      <c r="J50" s="86">
        <f>J20+J35+J48+J49</f>
        <v>5022623</v>
      </c>
    </row>
    <row r="51" spans="1:10" s="2" customFormat="1" ht="13.5" customHeight="1">
      <c r="A51" s="409" t="s">
        <v>2429</v>
      </c>
      <c r="B51" s="409"/>
      <c r="C51" s="409"/>
      <c r="D51" s="409"/>
      <c r="E51" s="409"/>
      <c r="F51" s="409"/>
      <c r="G51" s="19">
        <v>41</v>
      </c>
      <c r="H51" s="23"/>
      <c r="I51" s="77">
        <v>12885984</v>
      </c>
      <c r="J51" s="77">
        <v>16849815</v>
      </c>
    </row>
    <row r="52" spans="1:10" s="2" customFormat="1" ht="13.5" customHeight="1">
      <c r="A52" s="455" t="s">
        <v>13</v>
      </c>
      <c r="B52" s="455"/>
      <c r="C52" s="455"/>
      <c r="D52" s="455"/>
      <c r="E52" s="455"/>
      <c r="F52" s="455"/>
      <c r="G52" s="21">
        <v>42</v>
      </c>
      <c r="H52" s="24"/>
      <c r="I52" s="87">
        <f>I50+I51</f>
        <v>16849815</v>
      </c>
      <c r="J52" s="87">
        <f>J50+J51</f>
        <v>21872438</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9:J20 I32:J32 I35:J35 I48:J50 I16:J17">
    <cfRule type="cellIs" priority="1" dxfId="2" operator="notEqual" stopIfTrue="1">
      <formula>ROUND(I16,0)</formula>
    </cfRule>
  </conditionalFormatting>
  <conditionalFormatting sqref="I42:J47 I33:J34 I29:J31 I13:J15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B1">
      <pane ySplit="1" topLeftCell="A29" activePane="bottomLeft" state="frozen"/>
      <selection pane="topLeft" activeCell="A1" sqref="A1"/>
      <selection pane="bottomLeft" activeCell="T58" sqref="T58"/>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54189804734; VODOOPSKRBA I ODVODNJA ZAGREBAČKE ŽUPANIJE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1000000</v>
      </c>
      <c r="J10" s="25">
        <v>105138675</v>
      </c>
      <c r="K10" s="25">
        <v>8</v>
      </c>
      <c r="L10" s="25"/>
      <c r="M10" s="25"/>
      <c r="N10" s="25"/>
      <c r="O10" s="25"/>
      <c r="P10" s="25">
        <v>7785077</v>
      </c>
      <c r="Q10" s="25"/>
      <c r="R10" s="25"/>
      <c r="S10" s="25"/>
      <c r="T10" s="25">
        <v>-20702874</v>
      </c>
      <c r="U10" s="25">
        <v>689641</v>
      </c>
      <c r="V10" s="207">
        <f>SUM(I10:L10)-M10+SUM(N10:U10)</f>
        <v>93910527</v>
      </c>
      <c r="W10" s="25"/>
      <c r="X10" s="207">
        <f>W10+V10</f>
        <v>93910527</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1000000</v>
      </c>
      <c r="J13" s="207">
        <f aca="true" t="shared" si="2" ref="J13:U13">SUM(J10:J12)</f>
        <v>105138675</v>
      </c>
      <c r="K13" s="207">
        <f t="shared" si="2"/>
        <v>8</v>
      </c>
      <c r="L13" s="207">
        <f t="shared" si="2"/>
        <v>0</v>
      </c>
      <c r="M13" s="207">
        <f t="shared" si="2"/>
        <v>0</v>
      </c>
      <c r="N13" s="207">
        <f t="shared" si="2"/>
        <v>0</v>
      </c>
      <c r="O13" s="207">
        <f t="shared" si="2"/>
        <v>0</v>
      </c>
      <c r="P13" s="207">
        <f t="shared" si="2"/>
        <v>7785077</v>
      </c>
      <c r="Q13" s="207">
        <f t="shared" si="2"/>
        <v>0</v>
      </c>
      <c r="R13" s="207">
        <f t="shared" si="2"/>
        <v>0</v>
      </c>
      <c r="S13" s="207">
        <f t="shared" si="2"/>
        <v>0</v>
      </c>
      <c r="T13" s="207">
        <f t="shared" si="2"/>
        <v>-20702874</v>
      </c>
      <c r="U13" s="207">
        <f t="shared" si="2"/>
        <v>689641</v>
      </c>
      <c r="V13" s="207">
        <f t="shared" si="0"/>
        <v>93910527</v>
      </c>
      <c r="W13" s="207">
        <f>SUM(W10:W12)</f>
        <v>0</v>
      </c>
      <c r="X13" s="207">
        <f t="shared" si="1"/>
        <v>93910527</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330530</v>
      </c>
      <c r="V14" s="207">
        <f t="shared" si="0"/>
        <v>330530</v>
      </c>
      <c r="W14" s="25"/>
      <c r="X14" s="207">
        <f t="shared" si="1"/>
        <v>330530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v>-7785077</v>
      </c>
      <c r="Q16" s="217"/>
      <c r="R16" s="217"/>
      <c r="S16" s="217"/>
      <c r="T16" s="25"/>
      <c r="U16" s="25"/>
      <c r="V16" s="207">
        <f t="shared" si="0"/>
        <v>-7785077</v>
      </c>
      <c r="W16" s="25"/>
      <c r="X16" s="207">
        <f t="shared" si="1"/>
        <v>-7785077</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v>689641</v>
      </c>
      <c r="U30" s="25">
        <v>-689641</v>
      </c>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1000000</v>
      </c>
      <c r="J32" s="206">
        <f aca="true" t="shared" si="3" ref="J32:U32">SUM(J13:J31)</f>
        <v>105138675</v>
      </c>
      <c r="K32" s="206">
        <f t="shared" si="3"/>
        <v>8</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-20013233</v>
      </c>
      <c r="U32" s="206">
        <f t="shared" si="3"/>
        <v>330530</v>
      </c>
      <c r="V32" s="206">
        <f t="shared" si="0"/>
        <v>86455980</v>
      </c>
      <c r="W32" s="206">
        <f>SUM(W13:W31)</f>
        <v>0</v>
      </c>
      <c r="X32" s="206">
        <f t="shared" si="1"/>
        <v>86455980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1000000</v>
      </c>
      <c r="J38" s="25">
        <v>105138675</v>
      </c>
      <c r="K38" s="25">
        <v>8</v>
      </c>
      <c r="L38" s="25"/>
      <c r="M38" s="25"/>
      <c r="N38" s="25"/>
      <c r="O38" s="25"/>
      <c r="P38" s="25"/>
      <c r="Q38" s="25"/>
      <c r="R38" s="25"/>
      <c r="S38" s="25"/>
      <c r="T38" s="25">
        <v>-20013233</v>
      </c>
      <c r="U38" s="25">
        <v>330530</v>
      </c>
      <c r="V38" s="207">
        <f aca="true" t="shared" si="10" ref="V38:V60">SUM(I38:L38)-M38+SUM(N38:U38)</f>
        <v>86455980</v>
      </c>
      <c r="W38" s="25"/>
      <c r="X38" s="207">
        <f t="shared" si="1"/>
        <v>86455980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1000000</v>
      </c>
      <c r="J41" s="207">
        <f t="shared" si="11"/>
        <v>105138675</v>
      </c>
      <c r="K41" s="207">
        <f t="shared" si="11"/>
        <v>8</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-20013233</v>
      </c>
      <c r="U41" s="207">
        <f t="shared" si="11"/>
        <v>330530</v>
      </c>
      <c r="V41" s="207">
        <f t="shared" si="10"/>
        <v>86455980</v>
      </c>
      <c r="W41" s="207">
        <f>SUM(W38:W40)</f>
        <v>0</v>
      </c>
      <c r="X41" s="207">
        <f>W41+V41</f>
        <v>86455980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377345</v>
      </c>
      <c r="V42" s="207">
        <f t="shared" si="10"/>
        <v>377345</v>
      </c>
      <c r="W42" s="25"/>
      <c r="X42" s="207">
        <f t="shared" si="1"/>
        <v>377345</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v>330530</v>
      </c>
      <c r="U58" s="25">
        <v>-330530</v>
      </c>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1000000</v>
      </c>
      <c r="J60" s="206">
        <f t="shared" si="12"/>
        <v>105138675</v>
      </c>
      <c r="K60" s="206">
        <f t="shared" si="12"/>
        <v>8</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-19682703</v>
      </c>
      <c r="U60" s="206">
        <f t="shared" si="12"/>
        <v>377345</v>
      </c>
      <c r="V60" s="206">
        <f t="shared" si="10"/>
        <v>86833325</v>
      </c>
      <c r="W60" s="206">
        <f>SUM(W41:W59)</f>
        <v>0</v>
      </c>
      <c r="X60" s="206">
        <f t="shared" si="1"/>
        <v>86833325</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600" verticalDpi="6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Martina Vozdeck</cp:lastModifiedBy>
  <cp:lastPrinted>2019-05-17T10:40:06Z</cp:lastPrinted>
  <dcterms:created xsi:type="dcterms:W3CDTF">2008-10-17T11:51:54Z</dcterms:created>
  <dcterms:modified xsi:type="dcterms:W3CDTF">2019-09-17T08:14:21Z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